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userName="s273689" algorithmName="SHA-512" hashValue="Y6Z3tIs9XfnT88/YrVebMO/LtabXvjn+5nCBLZPmWnclrEuHN/uiskcve+AwOVpjEZuo2GFnmwxDA1IdwBvGRQ==" saltValue="PaeVGlJ/aUjaibtj/H7uvQ==" spinCount="100000"/>
  <workbookPr filterPrivacy="1" showInkAnnotation="0" codeName="ThisWorkbook" defaultThemeVersion="124226"/>
  <xr:revisionPtr revIDLastSave="0" documentId="8_{5DB4B33F-EDA6-46D8-8C19-89A3A4D3E52C}" xr6:coauthVersionLast="47" xr6:coauthVersionMax="47" xr10:uidLastSave="{00000000-0000-0000-0000-000000000000}"/>
  <bookViews>
    <workbookView xWindow="-120" yWindow="-120" windowWidth="29040" windowHeight="15720" tabRatio="876" xr2:uid="{00000000-000D-0000-FFFF-FFFF00000000}"/>
  </bookViews>
  <sheets>
    <sheet name="TCOS" sheetId="2" r:id="rId1"/>
    <sheet name="WS A - RB Support" sheetId="35" r:id="rId2"/>
    <sheet name="WS B ADIT &amp; ITC" sheetId="5" r:id="rId3"/>
    <sheet name="WS B-1 - Actual Stmt. AF" sheetId="38" r:id="rId4"/>
    <sheet name="WS B-2 - Actual Stmt. AG" sheetId="39" r:id="rId5"/>
    <sheet name="WS B-3" sheetId="51" r:id="rId6"/>
    <sheet name="WS B-3-A" sheetId="53" r:id="rId7"/>
    <sheet name="WS C  - Working Capital" sheetId="6" r:id="rId8"/>
    <sheet name="WS D IPP Credits" sheetId="7" r:id="rId9"/>
    <sheet name="WS E Rev Credits" sheetId="8" r:id="rId10"/>
    <sheet name="WS F Misc Exp" sheetId="9" r:id="rId11"/>
    <sheet name="WS G  State Tax Rate" sheetId="10" r:id="rId12"/>
    <sheet name="WS H Other Taxes" sheetId="11" r:id="rId13"/>
    <sheet name="WS H-1-Detail of Tax Amts" sheetId="30" r:id="rId14"/>
    <sheet name="WS I Reserved" sheetId="12" r:id="rId15"/>
    <sheet name="WS J PROJECTED RTEP RR" sheetId="20" state="hidden" r:id="rId16"/>
    <sheet name="WS K TRUE-UP RTEP RR" sheetId="13" r:id="rId17"/>
    <sheet name="WS L Reserved" sheetId="14" r:id="rId18"/>
    <sheet name="WS M - Cost of Capital" sheetId="41" r:id="rId19"/>
    <sheet name="WS N - Sale of Plant Held" sheetId="21" r:id="rId20"/>
    <sheet name="WS O - PBOP" sheetId="48" r:id="rId21"/>
    <sheet name="APCo - WS P Dep. Rates" sheetId="31" r:id="rId22"/>
    <sheet name="IMC - WS P Dep. Rates" sheetId="52" r:id="rId23"/>
    <sheet name="KGP - WS P Dep. Rates" sheetId="43" r:id="rId24"/>
    <sheet name="KPC - WS P Dep. Rates" sheetId="44" r:id="rId25"/>
    <sheet name="OPC - WS P Dep. Rates" sheetId="45" r:id="rId26"/>
    <sheet name="WPC-WS P Dep. Rates" sheetId="46" r:id="rId27"/>
    <sheet name="WSQ NSPR" sheetId="47" r:id="rId28"/>
    <sheet name="WSQ Schedule 12" sheetId="49" r:id="rId29"/>
    <sheet name="WSQ Schedule 1A" sheetId="50" r:id="rId30"/>
  </sheets>
  <definedNames>
    <definedName name="_NPh1" localSheetId="22">#REF!</definedName>
    <definedName name="_NPh1" localSheetId="6">#REF!</definedName>
    <definedName name="_NPh1">#REF!</definedName>
    <definedName name="ActExcessAmt" localSheetId="22">#REF!</definedName>
    <definedName name="ActExcessAmt" localSheetId="6">#REF!</definedName>
    <definedName name="ActExcessAmt">#REF!</definedName>
    <definedName name="ActGrTaxAmt" localSheetId="6">#REF!</definedName>
    <definedName name="ActGrTaxAmt">#REF!</definedName>
    <definedName name="ActKWHExcess" localSheetId="6">#REF!</definedName>
    <definedName name="ActKWHExcess">#REF!</definedName>
    <definedName name="ActKWHNotUsed" localSheetId="6">#REF!</definedName>
    <definedName name="ActKWHNotUsed">#REF!</definedName>
    <definedName name="ActKWHRes" localSheetId="6">#REF!</definedName>
    <definedName name="ActKWHRes">#REF!</definedName>
    <definedName name="ActKWHSubTot" localSheetId="6">#REF!</definedName>
    <definedName name="ActKWHSubTot">#REF!</definedName>
    <definedName name="ActKWHTot" localSheetId="6">#REF!</definedName>
    <definedName name="ActKWHTot">#REF!</definedName>
    <definedName name="ActNotUsedAmt" localSheetId="6">#REF!</definedName>
    <definedName name="ActNotUsedAmt">#REF!</definedName>
    <definedName name="ActResAmt" localSheetId="6">#REF!</definedName>
    <definedName name="ActResAmt">#REF!</definedName>
    <definedName name="ActSubTotAmt" localSheetId="6">#REF!</definedName>
    <definedName name="ActSubTotAmt">#REF!</definedName>
    <definedName name="ActTotAmt" localSheetId="6">#REF!</definedName>
    <definedName name="ActTotAmt">#REF!</definedName>
    <definedName name="AdminChg" localSheetId="6">#REF!</definedName>
    <definedName name="AdminChg">#REF!</definedName>
    <definedName name="AEP" localSheetId="6">#REF!</definedName>
    <definedName name="AEP">#REF!</definedName>
    <definedName name="allocator" localSheetId="6">#REF!</definedName>
    <definedName name="allocator">#REF!</definedName>
    <definedName name="allocators" localSheetId="6">#REF!</definedName>
    <definedName name="allocators">#REF!</definedName>
    <definedName name="allocatorsSWP" localSheetId="6">#REF!</definedName>
    <definedName name="allocatorsSWP">#REF!</definedName>
    <definedName name="allocatorSWP1">#REF!</definedName>
    <definedName name="APCO" localSheetId="6">#REF!</definedName>
    <definedName name="APCO">#REF!</definedName>
    <definedName name="APCo_Proj_Allocators" localSheetId="6">#REF!</definedName>
    <definedName name="APCo_Proj_Allocators">#REF!</definedName>
    <definedName name="APCo_TU_Allocators" localSheetId="6">#REF!</definedName>
    <definedName name="APCo_TU_Allocators">#REF!</definedName>
    <definedName name="AVRGPWRFCTR" localSheetId="6">#REF!</definedName>
    <definedName name="AVRGPWRFCTR">#REF!</definedName>
    <definedName name="B1HRSCRMO" localSheetId="6">#REF!</definedName>
    <definedName name="B1HRSCRMO">#REF!</definedName>
    <definedName name="B2HRSCRMO" localSheetId="6">#REF!</definedName>
    <definedName name="B2HRSCRMO">#REF!</definedName>
    <definedName name="BASERATECHG" localSheetId="6">#REF!</definedName>
    <definedName name="BASERATECHG">#REF!</definedName>
    <definedName name="BILLKWH" localSheetId="6">#REF!</definedName>
    <definedName name="BILLKWH">#REF!</definedName>
    <definedName name="BIRPCCHG" localSheetId="6">#REF!</definedName>
    <definedName name="BIRPCCHG">#REF!</definedName>
    <definedName name="BIRPDCHG1" localSheetId="6">#REF!</definedName>
    <definedName name="BIRPDCHG1">#REF!</definedName>
    <definedName name="BIRPDCHG2" localSheetId="6">#REF!</definedName>
    <definedName name="BIRPDCHG2">#REF!</definedName>
    <definedName name="BIRPECHG1" localSheetId="6">#REF!</definedName>
    <definedName name="BIRPECHG1">#REF!</definedName>
    <definedName name="BIRPECHGB1" localSheetId="6">#REF!</definedName>
    <definedName name="BIRPECHGB1">#REF!</definedName>
    <definedName name="BIRPECHGB2" localSheetId="6">#REF!</definedName>
    <definedName name="BIRPECHGB2">#REF!</definedName>
    <definedName name="BIRPECHGB3" localSheetId="6">#REF!</definedName>
    <definedName name="BIRPECHGB3">#REF!</definedName>
    <definedName name="BIRPECHGW" localSheetId="6">#REF!</definedName>
    <definedName name="BIRPECHGW">#REF!</definedName>
    <definedName name="BIRPKWH1" localSheetId="6">#REF!</definedName>
    <definedName name="BIRPKWH1">#REF!</definedName>
    <definedName name="BIRPKWHB1" localSheetId="6">#REF!</definedName>
    <definedName name="BIRPKWHB1">#REF!</definedName>
    <definedName name="BIRPKWHB2" localSheetId="6">#REF!</definedName>
    <definedName name="BIRPKWHB2">#REF!</definedName>
    <definedName name="BIRPKWHB3" localSheetId="6">#REF!</definedName>
    <definedName name="BIRPKWHB3">#REF!</definedName>
    <definedName name="BIRPKWHWH" localSheetId="6">#REF!</definedName>
    <definedName name="BIRPKWHWH">#REF!</definedName>
    <definedName name="BIRPMECHG1" localSheetId="6">#REF!</definedName>
    <definedName name="BIRPMECHG1">#REF!</definedName>
    <definedName name="BIRPOFKWH" localSheetId="6">#REF!</definedName>
    <definedName name="BIRPOFKWH">#REF!</definedName>
    <definedName name="BIRPOPKWH" localSheetId="6">#REF!</definedName>
    <definedName name="BIRPOPKWH">#REF!</definedName>
    <definedName name="BIRPP1EC" localSheetId="6">#REF!</definedName>
    <definedName name="BIRPP1EC">#REF!</definedName>
    <definedName name="BIRPP2EC" localSheetId="6">#REF!</definedName>
    <definedName name="BIRPP2EC">#REF!</definedName>
    <definedName name="BIRPP3EC" localSheetId="6">#REF!</definedName>
    <definedName name="BIRPP3EC">#REF!</definedName>
    <definedName name="BIRPP4EC" localSheetId="6">#REF!</definedName>
    <definedName name="BIRPP4EC">#REF!</definedName>
    <definedName name="BIRPP5EC" localSheetId="6">#REF!</definedName>
    <definedName name="BIRPP5EC">#REF!</definedName>
    <definedName name="BIRPPDMDCHG" localSheetId="6">#REF!</definedName>
    <definedName name="BIRPPDMDCHG">#REF!</definedName>
    <definedName name="BIRPRCHG" localSheetId="6">#REF!</definedName>
    <definedName name="BIRPRCHG">#REF!</definedName>
    <definedName name="BIRPXKVA" localSheetId="6">#REF!</definedName>
    <definedName name="BIRPXKVA">#REF!</definedName>
    <definedName name="BIRPXKVAPCT" localSheetId="6">#REF!</definedName>
    <definedName name="BIRPXKVAPCT">#REF!</definedName>
    <definedName name="BIRPXOFKW" localSheetId="6">#REF!</definedName>
    <definedName name="BIRPXOFKW">#REF!</definedName>
    <definedName name="BKUPKWH" localSheetId="6">#REF!</definedName>
    <definedName name="BKUPKWH">#REF!</definedName>
    <definedName name="BLDAMNT" localSheetId="6">#REF!</definedName>
    <definedName name="BLDAMNT">#REF!</definedName>
    <definedName name="BLDDMND" localSheetId="6">#REF!</definedName>
    <definedName name="BLDDMND">#REF!</definedName>
    <definedName name="BLDKWH" localSheetId="6">#REF!</definedName>
    <definedName name="BLDKWH">#REF!</definedName>
    <definedName name="BLDOPDMND" localSheetId="6">#REF!</definedName>
    <definedName name="BLDOPDMND">#REF!</definedName>
    <definedName name="BLNGKWB4EDR" localSheetId="6">#REF!</definedName>
    <definedName name="BLNGKWB4EDR">#REF!</definedName>
    <definedName name="BLNGKWH" localSheetId="6">#REF!</definedName>
    <definedName name="BLNGKWH">#REF!</definedName>
    <definedName name="BLNGKWHTTL" localSheetId="6">#REF!</definedName>
    <definedName name="BLNGKWHTTL">#REF!</definedName>
    <definedName name="BndBlkKwh1" localSheetId="6">#REF!</definedName>
    <definedName name="BndBlkKwh1">#REF!</definedName>
    <definedName name="BndBlkKwh2" localSheetId="6">#REF!</definedName>
    <definedName name="BndBlkKwh2">#REF!</definedName>
    <definedName name="BndBlkKwh3" localSheetId="6">#REF!</definedName>
    <definedName name="BndBlkKwh3">#REF!</definedName>
    <definedName name="BndBlkKwhChg1" localSheetId="6">#REF!</definedName>
    <definedName name="BndBlkKwhChg1">#REF!</definedName>
    <definedName name="BndBlkKwhChg2" localSheetId="6">#REF!</definedName>
    <definedName name="BndBlkKwhChg2">#REF!</definedName>
    <definedName name="BndBlkKwhChg3" localSheetId="6">#REF!</definedName>
    <definedName name="BndBlkKwhChg3">#REF!</definedName>
    <definedName name="BndBlkKwhChgT" localSheetId="6">#REF!</definedName>
    <definedName name="BndBlkKwhChgT">#REF!</definedName>
    <definedName name="BndBlkKwhChgW" localSheetId="6">#REF!</definedName>
    <definedName name="BndBlkKwhChgW">#REF!</definedName>
    <definedName name="BndBlkKwhT" localSheetId="6">#REF!</definedName>
    <definedName name="BndBlkKwhT">#REF!</definedName>
    <definedName name="BndBlkKwhW" localSheetId="6">#REF!</definedName>
    <definedName name="BndBlkKwhW">#REF!</definedName>
    <definedName name="BndCustChg" localSheetId="6">#REF!</definedName>
    <definedName name="BndCustChg">#REF!</definedName>
    <definedName name="BndDmdChg1" localSheetId="6">#REF!</definedName>
    <definedName name="BndDmdChg1">#REF!</definedName>
    <definedName name="BndDmdChg2" localSheetId="6">#REF!</definedName>
    <definedName name="BndDmdChg2">#REF!</definedName>
    <definedName name="BndExcsKvaPct" localSheetId="6">#REF!</definedName>
    <definedName name="BndExcsKvaPct">#REF!</definedName>
    <definedName name="BndMEChg" localSheetId="6">#REF!</definedName>
    <definedName name="BndMEChg">#REF!</definedName>
    <definedName name="BndOffPkKwh" localSheetId="6">#REF!</definedName>
    <definedName name="BndOffPkKwh">#REF!</definedName>
    <definedName name="BndOnPkKwh" localSheetId="6">#REF!</definedName>
    <definedName name="BndOnPkKwh">#REF!</definedName>
    <definedName name="BndPL1Chg" localSheetId="6">#REF!</definedName>
    <definedName name="BndPL1Chg">#REF!</definedName>
    <definedName name="BndPL2Chg" localSheetId="6">#REF!</definedName>
    <definedName name="BndPL2Chg">#REF!</definedName>
    <definedName name="BndPL3Chg" localSheetId="6">#REF!</definedName>
    <definedName name="BndPL3Chg">#REF!</definedName>
    <definedName name="BndPL4Chg" localSheetId="6">#REF!</definedName>
    <definedName name="BndPL4Chg">#REF!</definedName>
    <definedName name="BndPL5Chg" localSheetId="6">#REF!</definedName>
    <definedName name="BndPL5Chg">#REF!</definedName>
    <definedName name="BndReactiveChg" localSheetId="6">#REF!</definedName>
    <definedName name="BndReactiveChg">#REF!</definedName>
    <definedName name="BndXOfpKvaChg" localSheetId="6">#REF!</definedName>
    <definedName name="BndXOfpKvaChg">#REF!</definedName>
    <definedName name="BndXOfpKwChg" localSheetId="6">#REF!</definedName>
    <definedName name="BndXOfpKwChg">#REF!</definedName>
    <definedName name="BTTrueUp" localSheetId="6">#REF!</definedName>
    <definedName name="BTTrueUp">#REF!</definedName>
    <definedName name="BUNCCHG" localSheetId="6">#REF!</definedName>
    <definedName name="BUNCCHG">#REF!</definedName>
    <definedName name="BUNDCHG1" localSheetId="6">#REF!</definedName>
    <definedName name="BUNDCHG1">#REF!</definedName>
    <definedName name="BUNDCHG2" localSheetId="6">#REF!</definedName>
    <definedName name="BUNDCHG2">#REF!</definedName>
    <definedName name="BUNECHG1" localSheetId="6">#REF!</definedName>
    <definedName name="BUNECHG1">#REF!</definedName>
    <definedName name="BUNECHGB1" localSheetId="6">#REF!</definedName>
    <definedName name="BUNECHGB1">#REF!</definedName>
    <definedName name="BUNECHGB2" localSheetId="6">#REF!</definedName>
    <definedName name="BUNECHGB2">#REF!</definedName>
    <definedName name="BUNECHGB3" localSheetId="6">#REF!</definedName>
    <definedName name="BUNECHGB3">#REF!</definedName>
    <definedName name="BUNECHGW" localSheetId="6">#REF!</definedName>
    <definedName name="BUNECHGW">#REF!</definedName>
    <definedName name="BUNKWH1" localSheetId="6">#REF!</definedName>
    <definedName name="BUNKWH1">#REF!</definedName>
    <definedName name="BUNKWHB1" localSheetId="6">#REF!</definedName>
    <definedName name="BUNKWHB1">#REF!</definedName>
    <definedName name="BUNKWHB2" localSheetId="6">#REF!</definedName>
    <definedName name="BUNKWHB2">#REF!</definedName>
    <definedName name="BUNKWHB3" localSheetId="6">#REF!</definedName>
    <definedName name="BUNKWHB3">#REF!</definedName>
    <definedName name="BUNKWHWH" localSheetId="6">#REF!</definedName>
    <definedName name="BUNKWHWH">#REF!</definedName>
    <definedName name="BUNMECHG1" localSheetId="6">#REF!</definedName>
    <definedName name="BUNMECHG1">#REF!</definedName>
    <definedName name="BUNOFKWH" localSheetId="6">#REF!</definedName>
    <definedName name="BUNOFKWH">#REF!</definedName>
    <definedName name="BUNOPKWH" localSheetId="6">#REF!</definedName>
    <definedName name="BUNOPKWH">#REF!</definedName>
    <definedName name="BUNP1EC" localSheetId="6">#REF!</definedName>
    <definedName name="BUNP1EC">#REF!</definedName>
    <definedName name="BUNP2EC" localSheetId="6">#REF!</definedName>
    <definedName name="BUNP2EC">#REF!</definedName>
    <definedName name="BUNP3EC" localSheetId="6">#REF!</definedName>
    <definedName name="BUNP3EC">#REF!</definedName>
    <definedName name="BUNP4EC" localSheetId="6">#REF!</definedName>
    <definedName name="BUNP4EC">#REF!</definedName>
    <definedName name="BUNP5EC" localSheetId="6">#REF!</definedName>
    <definedName name="BUNP5EC">#REF!</definedName>
    <definedName name="BUNPDMDCHG" localSheetId="6">#REF!</definedName>
    <definedName name="BUNPDMDCHG">#REF!</definedName>
    <definedName name="BUNRCHG" localSheetId="6">#REF!</definedName>
    <definedName name="BUNRCHG">#REF!</definedName>
    <definedName name="BUNXKVA" localSheetId="6">#REF!</definedName>
    <definedName name="BUNXKVA">#REF!</definedName>
    <definedName name="BUNXKVAPCT" localSheetId="6">#REF!</definedName>
    <definedName name="BUNXKVAPCT">#REF!</definedName>
    <definedName name="BUNXOFKW" localSheetId="6">#REF!</definedName>
    <definedName name="BUNXOFKW">#REF!</definedName>
    <definedName name="CALCPFCC" localSheetId="6">#REF!</definedName>
    <definedName name="CALCPFCC">#REF!</definedName>
    <definedName name="CAPDEFA" localSheetId="6">#REF!</definedName>
    <definedName name="CAPDEFA">#REF!</definedName>
    <definedName name="CBLKWH" localSheetId="6">#REF!</definedName>
    <definedName name="CBLKWH">#REF!</definedName>
    <definedName name="City" localSheetId="6">#REF!</definedName>
    <definedName name="City">#REF!</definedName>
    <definedName name="CNTRCTDMND" localSheetId="6">#REF!</definedName>
    <definedName name="CNTRCTDMND">#REF!</definedName>
    <definedName name="CoPhoneLine" localSheetId="6">#REF!</definedName>
    <definedName name="CoPhoneLine">#REF!</definedName>
    <definedName name="CRMOINTRPTHRS" localSheetId="6">#REF!</definedName>
    <definedName name="CRMOINTRPTHRS">#REF!</definedName>
    <definedName name="CRNTMOBTKWH" localSheetId="6">#REF!</definedName>
    <definedName name="CRNTMOBTKWH">#REF!</definedName>
    <definedName name="CRNTMOFPKHRS" localSheetId="6">#REF!</definedName>
    <definedName name="CRNTMOFPKHRS">#REF!</definedName>
    <definedName name="CRNTMONPKHRS" localSheetId="6">#REF!</definedName>
    <definedName name="CRNTMONPKHRS">#REF!</definedName>
    <definedName name="CRTLBLONPKHRS" localSheetId="6">#REF!</definedName>
    <definedName name="CRTLBLONPKHRS">#REF!</definedName>
    <definedName name="CRTLBLONPKKWH" localSheetId="6">#REF!</definedName>
    <definedName name="CRTLBLONPKKWH">#REF!</definedName>
    <definedName name="CSTMRCHG" localSheetId="6">#REF!</definedName>
    <definedName name="CSTMRCHG">#REF!</definedName>
    <definedName name="CurMoAddr1" localSheetId="6">#REF!</definedName>
    <definedName name="CurMoAddr1">#REF!</definedName>
    <definedName name="CurMoAddr2" localSheetId="6">#REF!</definedName>
    <definedName name="CurMoAddr2">#REF!</definedName>
    <definedName name="CurMoBTDetail" localSheetId="6">#REF!</definedName>
    <definedName name="CurMoBTDetail">#REF!</definedName>
    <definedName name="CurMoBuyThrgh_Sheet" localSheetId="6">#REF!</definedName>
    <definedName name="CurMoBuyThrgh_Sheet">#REF!</definedName>
    <definedName name="CurMoCityStZip" localSheetId="6">#REF!</definedName>
    <definedName name="CurMoCityStZip">#REF!</definedName>
    <definedName name="CurMoCustName" localSheetId="6">#REF!</definedName>
    <definedName name="CurMoCustName">#REF!</definedName>
    <definedName name="CurMoExcessAmt" localSheetId="6">#REF!</definedName>
    <definedName name="CurMoExcessAmt">#REF!</definedName>
    <definedName name="CurMoGrTaxAmt" localSheetId="6">#REF!</definedName>
    <definedName name="CurMoGrTaxAmt">#REF!</definedName>
    <definedName name="CurMoKWHExcess" localSheetId="6">#REF!</definedName>
    <definedName name="CurMoKWHExcess">#REF!</definedName>
    <definedName name="CurMoKWHNotUsed" localSheetId="6">#REF!</definedName>
    <definedName name="CurMoKWHNotUsed">#REF!</definedName>
    <definedName name="CurMoKWHRes" localSheetId="6">#REF!</definedName>
    <definedName name="CurMoKWHRes">#REF!</definedName>
    <definedName name="CurMoKWHSubTot" localSheetId="6">#REF!</definedName>
    <definedName name="CurMoKWHSubTot">#REF!</definedName>
    <definedName name="CurMoKWHTot" localSheetId="6">#REF!</definedName>
    <definedName name="CurMoKWHTot">#REF!</definedName>
    <definedName name="CurMoMtrMult" localSheetId="6">#REF!</definedName>
    <definedName name="CurMoMtrMult">#REF!</definedName>
    <definedName name="CurMoNotUsedAmt" localSheetId="6">#REF!</definedName>
    <definedName name="CurMoNotUsedAmt">#REF!</definedName>
    <definedName name="CurMoResAmt" localSheetId="6">#REF!</definedName>
    <definedName name="CurMoResAmt">#REF!</definedName>
    <definedName name="CurMoSubTotAmt" localSheetId="6">#REF!</definedName>
    <definedName name="CurMoSubTotAmt">#REF!</definedName>
    <definedName name="CurMoTotAmt" localSheetId="6">#REF!</definedName>
    <definedName name="CurMoTotAmt">#REF!</definedName>
    <definedName name="CurrYear" localSheetId="6">#REF!</definedName>
    <definedName name="CurrYear">#REF!</definedName>
    <definedName name="CustAddr1" localSheetId="6">#REF!</definedName>
    <definedName name="CustAddr1">#REF!</definedName>
    <definedName name="CustAddr2" localSheetId="6">#REF!</definedName>
    <definedName name="CustAddr2">#REF!</definedName>
    <definedName name="CustCityStZip" localSheetId="6">#REF!</definedName>
    <definedName name="CustCityStZip">#REF!</definedName>
    <definedName name="CustName2" localSheetId="6">#REF!</definedName>
    <definedName name="CustName2">#REF!</definedName>
    <definedName name="CustTable" localSheetId="6">#REF!</definedName>
    <definedName name="CustTable">#REF!</definedName>
    <definedName name="DetailTotCbl" localSheetId="6">#REF!</definedName>
    <definedName name="DetailTotCbl">#REF!</definedName>
    <definedName name="DetailTotChg" localSheetId="6">#REF!</definedName>
    <definedName name="DetailTotChg">#REF!</definedName>
    <definedName name="DetailTotKw" localSheetId="6">#REF!</definedName>
    <definedName name="DetailTotKw">#REF!</definedName>
    <definedName name="DetailTotMargin" localSheetId="6">#REF!</definedName>
    <definedName name="DetailTotMargin">#REF!</definedName>
    <definedName name="DIRPCCHG" localSheetId="6">#REF!</definedName>
    <definedName name="DIRPCCHG">#REF!</definedName>
    <definedName name="DIRPDCHG1" localSheetId="6">#REF!</definedName>
    <definedName name="DIRPDCHG1">#REF!</definedName>
    <definedName name="DIRPDCHG2" localSheetId="6">#REF!</definedName>
    <definedName name="DIRPDCHG2">#REF!</definedName>
    <definedName name="DIRPECHG1" localSheetId="6">#REF!</definedName>
    <definedName name="DIRPECHG1">#REF!</definedName>
    <definedName name="DIRPECHGB1" localSheetId="6">#REF!</definedName>
    <definedName name="DIRPECHGB1">#REF!</definedName>
    <definedName name="DIRPECHGB2" localSheetId="6">#REF!</definedName>
    <definedName name="DIRPECHGB2">#REF!</definedName>
    <definedName name="DIRPECHGB3" localSheetId="6">#REF!</definedName>
    <definedName name="DIRPECHGB3">#REF!</definedName>
    <definedName name="DIRPMECHG1" localSheetId="6">#REF!</definedName>
    <definedName name="DIRPMECHG1">#REF!</definedName>
    <definedName name="DIRPMINDC" localSheetId="6">#REF!</definedName>
    <definedName name="DIRPMINDC">#REF!</definedName>
    <definedName name="DIRPMINEC" localSheetId="6">#REF!</definedName>
    <definedName name="DIRPMINEC">#REF!</definedName>
    <definedName name="DIRPOFKVA" localSheetId="6">#REF!</definedName>
    <definedName name="DIRPOFKVA">#REF!</definedName>
    <definedName name="DIRPOFKW" localSheetId="6">#REF!</definedName>
    <definedName name="DIRPOFKW">#REF!</definedName>
    <definedName name="DIRPOFKWH" localSheetId="6">#REF!</definedName>
    <definedName name="DIRPOFKWH">#REF!</definedName>
    <definedName name="DIRPOPKWH" localSheetId="6">#REF!</definedName>
    <definedName name="DIRPOPKWH">#REF!</definedName>
    <definedName name="DIRPP1EC" localSheetId="6">#REF!</definedName>
    <definedName name="DIRPP1EC">#REF!</definedName>
    <definedName name="DIRPP2EC" localSheetId="6">#REF!</definedName>
    <definedName name="DIRPP2EC">#REF!</definedName>
    <definedName name="DIRPP3EC" localSheetId="6">#REF!</definedName>
    <definedName name="DIRPP3EC">#REF!</definedName>
    <definedName name="DIRPP4EC" localSheetId="6">#REF!</definedName>
    <definedName name="DIRPP4EC">#REF!</definedName>
    <definedName name="DIRPP5EC" localSheetId="6">#REF!</definedName>
    <definedName name="DIRPP5EC">#REF!</definedName>
    <definedName name="DIRPRCHG" localSheetId="6">#REF!</definedName>
    <definedName name="DIRPRCHG">#REF!</definedName>
    <definedName name="DisBlkKwhChg1" localSheetId="6">#REF!</definedName>
    <definedName name="DisBlkKwhChg1">#REF!</definedName>
    <definedName name="DisBlkKwhChg2" localSheetId="6">#REF!</definedName>
    <definedName name="DisBlkKwhChg2">#REF!</definedName>
    <definedName name="DisBlkKwhChg3" localSheetId="6">#REF!</definedName>
    <definedName name="DisBlkKwhChg3">#REF!</definedName>
    <definedName name="DisBlkKwhChgT" localSheetId="6">#REF!</definedName>
    <definedName name="DisBlkKwhChgT">#REF!</definedName>
    <definedName name="DisCustChg" localSheetId="6">#REF!</definedName>
    <definedName name="DisCustChg">#REF!</definedName>
    <definedName name="DisDmdChg1" localSheetId="6">#REF!</definedName>
    <definedName name="DisDmdChg1">#REF!</definedName>
    <definedName name="DisDmdChg2" localSheetId="6">#REF!</definedName>
    <definedName name="DisDmdChg2">#REF!</definedName>
    <definedName name="DisMEChg" localSheetId="6">#REF!</definedName>
    <definedName name="DisMEChg">#REF!</definedName>
    <definedName name="DisMinDChg" localSheetId="6">#REF!</definedName>
    <definedName name="DisMinDChg">#REF!</definedName>
    <definedName name="DisMinEChg" localSheetId="6">#REF!</definedName>
    <definedName name="DisMinEChg">#REF!</definedName>
    <definedName name="DisOffPkKwh" localSheetId="6">#REF!</definedName>
    <definedName name="DisOffPkKwh">#REF!</definedName>
    <definedName name="DisOnPkKwh" localSheetId="6">#REF!</definedName>
    <definedName name="DisOnPkKwh">#REF!</definedName>
    <definedName name="DisPL1Chg" localSheetId="6">#REF!</definedName>
    <definedName name="DisPL1Chg">#REF!</definedName>
    <definedName name="DisPL2Chg" localSheetId="6">#REF!</definedName>
    <definedName name="DisPL2Chg">#REF!</definedName>
    <definedName name="DisPL3Chg" localSheetId="6">#REF!</definedName>
    <definedName name="DisPL3Chg">#REF!</definedName>
    <definedName name="DisPL4Chg" localSheetId="6">#REF!</definedName>
    <definedName name="DisPL4Chg">#REF!</definedName>
    <definedName name="DisPL5Chg" localSheetId="6">#REF!</definedName>
    <definedName name="DisPL5Chg">#REF!</definedName>
    <definedName name="DisReactiveChg" localSheetId="6">#REF!</definedName>
    <definedName name="DisReactiveChg">#REF!</definedName>
    <definedName name="DisXOfpKvaChg" localSheetId="6">#REF!</definedName>
    <definedName name="DisXOfpKvaChg">#REF!</definedName>
    <definedName name="DisXOfpKwChg" localSheetId="6">#REF!</definedName>
    <definedName name="DisXOfpKwChg">#REF!</definedName>
    <definedName name="DSTCCHG" localSheetId="6">#REF!</definedName>
    <definedName name="DSTCCHG">#REF!</definedName>
    <definedName name="DSTDCHG1" localSheetId="6">#REF!</definedName>
    <definedName name="DSTDCHG1">#REF!</definedName>
    <definedName name="DSTDCHG2" localSheetId="6">#REF!</definedName>
    <definedName name="DSTDCHG2">#REF!</definedName>
    <definedName name="DSTECHG1" localSheetId="6">#REF!</definedName>
    <definedName name="DSTECHG1">#REF!</definedName>
    <definedName name="DSTECHGB1" localSheetId="6">#REF!</definedName>
    <definedName name="DSTECHGB1">#REF!</definedName>
    <definedName name="DSTECHGB2" localSheetId="6">#REF!</definedName>
    <definedName name="DSTECHGB2">#REF!</definedName>
    <definedName name="DSTECHGB3" localSheetId="6">#REF!</definedName>
    <definedName name="DSTECHGB3">#REF!</definedName>
    <definedName name="DSTMECHG1" localSheetId="6">#REF!</definedName>
    <definedName name="DSTMECHG1">#REF!</definedName>
    <definedName name="DSTMINDC" localSheetId="6">#REF!</definedName>
    <definedName name="DSTMINDC">#REF!</definedName>
    <definedName name="DSTMINEC" localSheetId="6">#REF!</definedName>
    <definedName name="DSTMINEC">#REF!</definedName>
    <definedName name="DSTOFKWH" localSheetId="6">#REF!</definedName>
    <definedName name="DSTOFKWH">#REF!</definedName>
    <definedName name="DSTOPKWH" localSheetId="6">#REF!</definedName>
    <definedName name="DSTOPKWH">#REF!</definedName>
    <definedName name="DSTP1EC" localSheetId="6">#REF!</definedName>
    <definedName name="DSTP1EC">#REF!</definedName>
    <definedName name="DSTP2EC" localSheetId="6">#REF!</definedName>
    <definedName name="DSTP2EC">#REF!</definedName>
    <definedName name="DSTP3EC" localSheetId="6">#REF!</definedName>
    <definedName name="DSTP3EC">#REF!</definedName>
    <definedName name="DSTP4EC" localSheetId="6">#REF!</definedName>
    <definedName name="DSTP4EC">#REF!</definedName>
    <definedName name="DSTP5EC" localSheetId="6">#REF!</definedName>
    <definedName name="DSTP5EC">#REF!</definedName>
    <definedName name="DSTRCHG" localSheetId="6">#REF!</definedName>
    <definedName name="DSTRCHG">#REF!</definedName>
    <definedName name="DSTXOFKVA" localSheetId="6">#REF!</definedName>
    <definedName name="DSTXOFKVA">#REF!</definedName>
    <definedName name="DSTXOFKW" localSheetId="6">#REF!</definedName>
    <definedName name="DSTXOFKW">#REF!</definedName>
    <definedName name="EDRBASE" localSheetId="6">#REF!</definedName>
    <definedName name="EDRBASE">#REF!</definedName>
    <definedName name="EDRDATE" localSheetId="6">#REF!</definedName>
    <definedName name="EDRDATE">#REF!</definedName>
    <definedName name="EDRDSCNT" localSheetId="6">#REF!</definedName>
    <definedName name="EDRDSCNT">#REF!</definedName>
    <definedName name="EDRLVLPCT" localSheetId="6">#REF!</definedName>
    <definedName name="EDRLVLPCT">#REF!</definedName>
    <definedName name="EDRTYPE" localSheetId="6">#REF!</definedName>
    <definedName name="EDRTYPE">#REF!</definedName>
    <definedName name="EffDate" localSheetId="6">#REF!</definedName>
    <definedName name="EffDate">#REF!</definedName>
    <definedName name="ELKMCGN1" localSheetId="6">#REF!</definedName>
    <definedName name="ELKMCGN1">#REF!</definedName>
    <definedName name="ELKMCGN2" localSheetId="6">#REF!</definedName>
    <definedName name="ELKMCGN2">#REF!</definedName>
    <definedName name="ENDDTM" localSheetId="6">#REF!</definedName>
    <definedName name="ENDDTM">#REF!</definedName>
    <definedName name="ENDTIME" localSheetId="6">#REF!</definedName>
    <definedName name="ENDTIME">#REF!</definedName>
    <definedName name="EstExcessAmt" localSheetId="6">#REF!</definedName>
    <definedName name="EstExcessAmt">#REF!</definedName>
    <definedName name="EstGrTaxAmt" localSheetId="6">#REF!</definedName>
    <definedName name="EstGrTaxAmt">#REF!</definedName>
    <definedName name="EstKWHExcess" localSheetId="6">#REF!</definedName>
    <definedName name="EstKWHExcess">#REF!</definedName>
    <definedName name="EstKWHNotUsed" localSheetId="6">#REF!</definedName>
    <definedName name="EstKWHNotUsed">#REF!</definedName>
    <definedName name="EstKWHRes" localSheetId="6">#REF!</definedName>
    <definedName name="EstKWHRes">#REF!</definedName>
    <definedName name="EstKWHSubTot" localSheetId="6">#REF!</definedName>
    <definedName name="EstKWHSubTot">#REF!</definedName>
    <definedName name="EstKWHTot" localSheetId="6">#REF!</definedName>
    <definedName name="EstKWHTot">#REF!</definedName>
    <definedName name="EstNotUsedAmt" localSheetId="6">#REF!</definedName>
    <definedName name="EstNotUsedAmt">#REF!</definedName>
    <definedName name="EstResAmt" localSheetId="6">#REF!</definedName>
    <definedName name="EstResAmt">#REF!</definedName>
    <definedName name="EstSubTotAmt" localSheetId="6">#REF!</definedName>
    <definedName name="EstSubTotAmt">#REF!</definedName>
    <definedName name="EstTotAmt" localSheetId="6">#REF!</definedName>
    <definedName name="EstTotAmt">#REF!</definedName>
    <definedName name="EXCSKVACHG" localSheetId="6">#REF!</definedName>
    <definedName name="EXCSKVACHG">#REF!</definedName>
    <definedName name="EXCSKVADMND" localSheetId="6">#REF!</definedName>
    <definedName name="EXCSKVADMND">#REF!</definedName>
    <definedName name="EXCSKVAR" localSheetId="6">#REF!</definedName>
    <definedName name="EXCSKVAR">#REF!</definedName>
    <definedName name="FIRMKWH" localSheetId="6">#REF!</definedName>
    <definedName name="FIRMKWH">#REF!</definedName>
    <definedName name="FIRSTDAY" localSheetId="6">#REF!</definedName>
    <definedName name="FIRSTDAY">#REF!</definedName>
    <definedName name="FRMCPCT" localSheetId="6">#REF!</definedName>
    <definedName name="FRMCPCT">#REF!</definedName>
    <definedName name="FUELCHG" localSheetId="6">#REF!</definedName>
    <definedName name="FUELCHG">#REF!</definedName>
    <definedName name="FUELRATE" localSheetId="6">#REF!</definedName>
    <definedName name="FUELRATE">#REF!</definedName>
    <definedName name="GenBlkKwhChg1" localSheetId="6">#REF!</definedName>
    <definedName name="GenBlkKwhChg1">#REF!</definedName>
    <definedName name="GenBlkKwhChg2" localSheetId="6">#REF!</definedName>
    <definedName name="GenBlkKwhChg2">#REF!</definedName>
    <definedName name="GenBlkKwhChg3" localSheetId="6">#REF!</definedName>
    <definedName name="GenBlkKwhChg3">#REF!</definedName>
    <definedName name="GenBlkKwhChgT" localSheetId="6">#REF!</definedName>
    <definedName name="GenBlkKwhChgT">#REF!</definedName>
    <definedName name="GENCCHG" localSheetId="6">#REF!</definedName>
    <definedName name="GENCCHG">#REF!</definedName>
    <definedName name="GenCustChg" localSheetId="6">#REF!</definedName>
    <definedName name="GenCustChg">#REF!</definedName>
    <definedName name="GENDCHG1" localSheetId="6">#REF!</definedName>
    <definedName name="GENDCHG1">#REF!</definedName>
    <definedName name="GENDCHG2" localSheetId="6">#REF!</definedName>
    <definedName name="GENDCHG2">#REF!</definedName>
    <definedName name="GenDmdChg1" localSheetId="6">#REF!</definedName>
    <definedName name="GenDmdChg1">#REF!</definedName>
    <definedName name="GenDmdChg2" localSheetId="6">#REF!</definedName>
    <definedName name="GenDmdChg2">#REF!</definedName>
    <definedName name="GENECHG1" localSheetId="6">#REF!</definedName>
    <definedName name="GENECHG1">#REF!</definedName>
    <definedName name="GENECHGB1" localSheetId="6">#REF!</definedName>
    <definedName name="GENECHGB1">#REF!</definedName>
    <definedName name="GENECHGB2" localSheetId="6">#REF!</definedName>
    <definedName name="GENECHGB2">#REF!</definedName>
    <definedName name="GENECHGB3" localSheetId="6">#REF!</definedName>
    <definedName name="GENECHGB3">#REF!</definedName>
    <definedName name="GenMEChg" localSheetId="6">#REF!</definedName>
    <definedName name="GenMEChg">#REF!</definedName>
    <definedName name="GENMECHG1" localSheetId="6">#REF!</definedName>
    <definedName name="GENMECHG1">#REF!</definedName>
    <definedName name="GENMINDC" localSheetId="6">#REF!</definedName>
    <definedName name="GENMINDC">#REF!</definedName>
    <definedName name="GenMinDChg" localSheetId="6">#REF!</definedName>
    <definedName name="GenMinDChg">#REF!</definedName>
    <definedName name="GENMINEC" localSheetId="6">#REF!</definedName>
    <definedName name="GENMINEC">#REF!</definedName>
    <definedName name="GenMinEChg" localSheetId="6">#REF!</definedName>
    <definedName name="GenMinEChg">#REF!</definedName>
    <definedName name="GenOffPkKwh" localSheetId="6">#REF!</definedName>
    <definedName name="GenOffPkKwh">#REF!</definedName>
    <definedName name="GENOFKWH" localSheetId="6">#REF!</definedName>
    <definedName name="GENOFKWH">#REF!</definedName>
    <definedName name="GenOnPkKwh" localSheetId="6">#REF!</definedName>
    <definedName name="GenOnPkKwh">#REF!</definedName>
    <definedName name="GENOPKWH" localSheetId="6">#REF!</definedName>
    <definedName name="GENOPKWH">#REF!</definedName>
    <definedName name="GENP1EC" localSheetId="6">#REF!</definedName>
    <definedName name="GENP1EC">#REF!</definedName>
    <definedName name="GENP2EC" localSheetId="6">#REF!</definedName>
    <definedName name="GENP2EC">#REF!</definedName>
    <definedName name="GENP3EC" localSheetId="6">#REF!</definedName>
    <definedName name="GENP3EC">#REF!</definedName>
    <definedName name="GENP4EC" localSheetId="6">#REF!</definedName>
    <definedName name="GENP4EC">#REF!</definedName>
    <definedName name="GENP5EC" localSheetId="6">#REF!</definedName>
    <definedName name="GENP5EC">#REF!</definedName>
    <definedName name="GenPL1Chg" localSheetId="6">#REF!</definedName>
    <definedName name="GenPL1Chg">#REF!</definedName>
    <definedName name="GenPL2Chg" localSheetId="6">#REF!</definedName>
    <definedName name="GenPL2Chg">#REF!</definedName>
    <definedName name="GenPL3Chg" localSheetId="6">#REF!</definedName>
    <definedName name="GenPL3Chg">#REF!</definedName>
    <definedName name="GenPL4Chg" localSheetId="6">#REF!</definedName>
    <definedName name="GenPL4Chg">#REF!</definedName>
    <definedName name="GenPL5Chg" localSheetId="6">#REF!</definedName>
    <definedName name="GenPL5Chg">#REF!</definedName>
    <definedName name="GENRCHG" localSheetId="6">#REF!</definedName>
    <definedName name="GENRCHG">#REF!</definedName>
    <definedName name="GenReactiveChg" localSheetId="6">#REF!</definedName>
    <definedName name="GenReactiveChg">#REF!</definedName>
    <definedName name="GENXOFKVA" localSheetId="6">#REF!</definedName>
    <definedName name="GENXOFKVA">#REF!</definedName>
    <definedName name="GENXOFKW" localSheetId="6">#REF!</definedName>
    <definedName name="GENXOFKW">#REF!</definedName>
    <definedName name="GenXOfpKvaChg" localSheetId="6">#REF!</definedName>
    <definedName name="GenXOfpKvaChg">#REF!</definedName>
    <definedName name="GenXOfpKwChg" localSheetId="6">#REF!</definedName>
    <definedName name="GenXOfpKwChg">#REF!</definedName>
    <definedName name="GIRPCCHG" localSheetId="6">#REF!</definedName>
    <definedName name="GIRPCCHG">#REF!</definedName>
    <definedName name="GIRPDCHG1" localSheetId="6">#REF!</definedName>
    <definedName name="GIRPDCHG1">#REF!</definedName>
    <definedName name="GIRPDCHG2" localSheetId="6">#REF!</definedName>
    <definedName name="GIRPDCHG2">#REF!</definedName>
    <definedName name="GIRPECHG1" localSheetId="6">#REF!</definedName>
    <definedName name="GIRPECHG1">#REF!</definedName>
    <definedName name="GIRPECHGB1" localSheetId="6">#REF!</definedName>
    <definedName name="GIRPECHGB1">#REF!</definedName>
    <definedName name="GIRPECHGB2" localSheetId="6">#REF!</definedName>
    <definedName name="GIRPECHGB2">#REF!</definedName>
    <definedName name="GIRPECHGB3" localSheetId="6">#REF!</definedName>
    <definedName name="GIRPECHGB3">#REF!</definedName>
    <definedName name="GIRPMECHG1" localSheetId="6">#REF!</definedName>
    <definedName name="GIRPMECHG1">#REF!</definedName>
    <definedName name="GIRPMINDC" localSheetId="6">#REF!</definedName>
    <definedName name="GIRPMINDC">#REF!</definedName>
    <definedName name="GIRPMINEC" localSheetId="6">#REF!</definedName>
    <definedName name="GIRPMINEC">#REF!</definedName>
    <definedName name="GIRPOFKVA" localSheetId="6">#REF!</definedName>
    <definedName name="GIRPOFKVA">#REF!</definedName>
    <definedName name="GIRPOFKW" localSheetId="6">#REF!</definedName>
    <definedName name="GIRPOFKW">#REF!</definedName>
    <definedName name="GIRPOFKWH" localSheetId="6">#REF!</definedName>
    <definedName name="GIRPOFKWH">#REF!</definedName>
    <definedName name="GIRPOPKWH" localSheetId="6">#REF!</definedName>
    <definedName name="GIRPOPKWH">#REF!</definedName>
    <definedName name="GIRPP1EC" localSheetId="6">#REF!</definedName>
    <definedName name="GIRPP1EC">#REF!</definedName>
    <definedName name="GIRPP2EC" localSheetId="6">#REF!</definedName>
    <definedName name="GIRPP2EC">#REF!</definedName>
    <definedName name="GIRPP3EC" localSheetId="6">#REF!</definedName>
    <definedName name="GIRPP3EC">#REF!</definedName>
    <definedName name="GIRPP4EC" localSheetId="6">#REF!</definedName>
    <definedName name="GIRPP4EC">#REF!</definedName>
    <definedName name="GIRPP5EC" localSheetId="6">#REF!</definedName>
    <definedName name="GIRPP5EC">#REF!</definedName>
    <definedName name="GIRPRCHG" localSheetId="6">#REF!</definedName>
    <definedName name="GIRPRCHG">#REF!</definedName>
    <definedName name="HEADA" localSheetId="6">#REF!</definedName>
    <definedName name="HEADA">#REF!</definedName>
    <definedName name="HEADB" localSheetId="6">#REF!</definedName>
    <definedName name="HEADB">#REF!</definedName>
    <definedName name="HEADC" localSheetId="6">#REF!</definedName>
    <definedName name="HEADC">#REF!</definedName>
    <definedName name="HEADD" localSheetId="6">#REF!</definedName>
    <definedName name="HEADD">#REF!</definedName>
    <definedName name="HIPREKW" localSheetId="6">#REF!</definedName>
    <definedName name="HIPREKW">#REF!</definedName>
    <definedName name="HRCRDKW" localSheetId="6">#REF!</definedName>
    <definedName name="HRCRDKW">#REF!</definedName>
    <definedName name="HRCRDKWDT" localSheetId="6">#REF!</definedName>
    <definedName name="HRCRDKWDT">#REF!</definedName>
    <definedName name="HRCRDKWTM" localSheetId="6">#REF!</definedName>
    <definedName name="HRCRDKWTM">#REF!</definedName>
    <definedName name="HROFPKDT" localSheetId="6">#REF!</definedName>
    <definedName name="HROFPKDT">#REF!</definedName>
    <definedName name="HROFPKKW" localSheetId="6">#REF!</definedName>
    <definedName name="HROFPKKW">#REF!</definedName>
    <definedName name="HROFPKTM" localSheetId="6">#REF!</definedName>
    <definedName name="HROFPKTM">#REF!</definedName>
    <definedName name="HRONPKDT" localSheetId="6">#REF!</definedName>
    <definedName name="HRONPKDT">#REF!</definedName>
    <definedName name="HRONPKKW" localSheetId="6">#REF!</definedName>
    <definedName name="HRONPKKW">#REF!</definedName>
    <definedName name="HRONPKTM" localSheetId="6">#REF!</definedName>
    <definedName name="HRONPKTM">#REF!</definedName>
    <definedName name="IMCO" localSheetId="6">#REF!</definedName>
    <definedName name="IMCO">#REF!</definedName>
    <definedName name="InterruptCapacity" localSheetId="6">#REF!</definedName>
    <definedName name="InterruptCapacity">#REF!</definedName>
    <definedName name="InterruptOfpCapacity" localSheetId="6">#REF!</definedName>
    <definedName name="InterruptOfpCapacity">#REF!</definedName>
    <definedName name="InterruptType" localSheetId="6">#REF!</definedName>
    <definedName name="InterruptType">#REF!</definedName>
    <definedName name="INTRPBLCAP" localSheetId="6">#REF!</definedName>
    <definedName name="INTRPBLCAP">#REF!</definedName>
    <definedName name="Invdetails" localSheetId="6">#REF!</definedName>
    <definedName name="Invdetails">#REF!</definedName>
    <definedName name="KWCHG" localSheetId="6">#REF!</definedName>
    <definedName name="KWCHG">#REF!</definedName>
    <definedName name="KWH1NOCMM" localSheetId="6">#REF!</definedName>
    <definedName name="KWH1NOCMM">#REF!</definedName>
    <definedName name="KWH3NOCMM" localSheetId="6">#REF!</definedName>
    <definedName name="KWH3NOCMM">#REF!</definedName>
    <definedName name="KWHCHG" localSheetId="6">#REF!</definedName>
    <definedName name="KWHCHG">#REF!</definedName>
    <definedName name="LASTDAY" localSheetId="6">#REF!</definedName>
    <definedName name="LASTDAY">#REF!</definedName>
    <definedName name="LASTFUEL" localSheetId="6">#REF!</definedName>
    <definedName name="LASTFUEL">#REF!</definedName>
    <definedName name="LASTMSRR" localSheetId="6">#REF!</definedName>
    <definedName name="LASTMSRR">#REF!</definedName>
    <definedName name="LASTPFCC" localSheetId="6">#REF!</definedName>
    <definedName name="LASTPFCC">#REF!</definedName>
    <definedName name="LDFCTR" localSheetId="6">#REF!</definedName>
    <definedName name="LDFCTR">#REF!</definedName>
    <definedName name="LRCREDIT" localSheetId="6">#REF!</definedName>
    <definedName name="LRCREDIT">#REF!</definedName>
    <definedName name="MACC1" localSheetId="6">#REF!</definedName>
    <definedName name="MACC1">#REF!</definedName>
    <definedName name="MACC2" localSheetId="6">#REF!</definedName>
    <definedName name="MACC2">#REF!</definedName>
    <definedName name="MAINTHRSCRMO" localSheetId="6">#REF!</definedName>
    <definedName name="MAINTHRSCRMO">#REF!</definedName>
    <definedName name="MAINTKWH" localSheetId="6">#REF!</definedName>
    <definedName name="MAINTKWH">#REF!</definedName>
    <definedName name="MinBillDem" localSheetId="6">#REF!</definedName>
    <definedName name="MinBillDem">#REF!</definedName>
    <definedName name="MinBillDem2" localSheetId="6">#REF!</definedName>
    <definedName name="MinBillDem2">#REF!</definedName>
    <definedName name="MinBillDmd" localSheetId="6">#REF!</definedName>
    <definedName name="MinBillDmd">#REF!</definedName>
    <definedName name="MSRRBLD" localSheetId="6">#REF!</definedName>
    <definedName name="MSRRBLD">#REF!</definedName>
    <definedName name="MSRRCHG" localSheetId="6">#REF!</definedName>
    <definedName name="MSRRCHG">#REF!</definedName>
    <definedName name="MTRMLTPLR1" localSheetId="6">#REF!</definedName>
    <definedName name="MTRMLTPLR1">#REF!</definedName>
    <definedName name="MTRMLTPLR2" localSheetId="6">#REF!</definedName>
    <definedName name="MTRMLTPLR2">#REF!</definedName>
    <definedName name="NETMRGCHG" localSheetId="6">#REF!</definedName>
    <definedName name="NETMRGCHG">#REF!</definedName>
    <definedName name="NODAYSINPRD" localSheetId="6">#REF!</definedName>
    <definedName name="NODAYSINPRD">#REF!</definedName>
    <definedName name="NODELPOINTS" localSheetId="6">#REF!</definedName>
    <definedName name="NODELPOINTS">#REF!</definedName>
    <definedName name="np">#REF!</definedName>
    <definedName name="NP_h">#REF!</definedName>
    <definedName name="NP_h1" localSheetId="22">#REF!</definedName>
    <definedName name="NP_h1" localSheetId="6">#REF!</definedName>
    <definedName name="NP_h1">#REF!</definedName>
    <definedName name="NvsASD">"V2006-12-31"</definedName>
    <definedName name="NvsAutoDrillOk">"VN"</definedName>
    <definedName name="NvsElapsedTime">0.000231481484661344</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 localSheetId="6">#REF!</definedName>
    <definedName name="OFPCBLKW">#REF!</definedName>
    <definedName name="OFPKBILLKWH" localSheetId="6">#REF!</definedName>
    <definedName name="OFPKBILLKWH">#REF!</definedName>
    <definedName name="OFPKCGNKWH" localSheetId="6">#REF!</definedName>
    <definedName name="OFPKCGNKWH">#REF!</definedName>
    <definedName name="OFPKCNTRCTCPCT" localSheetId="6">#REF!</definedName>
    <definedName name="OFPKCNTRCTCPCT">#REF!</definedName>
    <definedName name="OFPKDMPKWH" localSheetId="6">#REF!</definedName>
    <definedName name="OFPKDMPKWH">#REF!</definedName>
    <definedName name="OFPKDSCRKWH" localSheetId="6">#REF!</definedName>
    <definedName name="OFPKDSCRKWH">#REF!</definedName>
    <definedName name="OFPKDT" localSheetId="6">#REF!</definedName>
    <definedName name="OFPKDT">#REF!</definedName>
    <definedName name="OFPKEXCSKW" localSheetId="6">#REF!</definedName>
    <definedName name="OFPKEXCSKW">#REF!</definedName>
    <definedName name="OFPKINCRKWH" localSheetId="6">#REF!</definedName>
    <definedName name="OFPKINCRKWH">#REF!</definedName>
    <definedName name="OFPKKVADT" localSheetId="6">#REF!</definedName>
    <definedName name="OFPKKVADT">#REF!</definedName>
    <definedName name="OFPKKVATM" localSheetId="6">#REF!</definedName>
    <definedName name="OFPKKVATM">#REF!</definedName>
    <definedName name="OFPKKVW" localSheetId="6">#REF!</definedName>
    <definedName name="OFPKKVW">#REF!</definedName>
    <definedName name="OFPKKW" localSheetId="6">#REF!</definedName>
    <definedName name="OFPKKW">#REF!</definedName>
    <definedName name="OFPKKWH1NOCMM" localSheetId="6">#REF!</definedName>
    <definedName name="OFPKKWH1NOCMM">#REF!</definedName>
    <definedName name="OFPKKWH3NOCMM" localSheetId="6">#REF!</definedName>
    <definedName name="OFPKKWH3NOCMM">#REF!</definedName>
    <definedName name="OFPKRCRDKWH" localSheetId="6">#REF!</definedName>
    <definedName name="OFPKRCRDKWH">#REF!</definedName>
    <definedName name="OFPKTM" localSheetId="6">#REF!</definedName>
    <definedName name="OFPKTM">#REF!</definedName>
    <definedName name="OFPXCSKW" localSheetId="6">#REF!</definedName>
    <definedName name="OFPXCSKW">#REF!</definedName>
    <definedName name="OFPXCSKWDT" localSheetId="6">#REF!</definedName>
    <definedName name="OFPXCSKWDT">#REF!</definedName>
    <definedName name="OFPXCSKWH" localSheetId="6">#REF!</definedName>
    <definedName name="OFPXCSKWH">#REF!</definedName>
    <definedName name="OFPXCSKWTM" localSheetId="6">#REF!</definedName>
    <definedName name="OFPXCSKWTM">#REF!</definedName>
    <definedName name="ONPKBILLKWH" localSheetId="6">#REF!</definedName>
    <definedName name="ONPKBILLKWH">#REF!</definedName>
    <definedName name="ONPKCAPB" localSheetId="6">#REF!</definedName>
    <definedName name="ONPKCAPB">#REF!</definedName>
    <definedName name="ONPKCGNKWH" localSheetId="6">#REF!</definedName>
    <definedName name="ONPKCGNKWH">#REF!</definedName>
    <definedName name="ONPKCNTRCTCPCT" localSheetId="6">#REF!</definedName>
    <definedName name="ONPKCNTRCTCPCT">#REF!</definedName>
    <definedName name="ONPKDMPKWH" localSheetId="6">#REF!</definedName>
    <definedName name="ONPKDMPKWH">#REF!</definedName>
    <definedName name="ONPKDSCRKWH" localSheetId="6">#REF!</definedName>
    <definedName name="ONPKDSCRKWH">#REF!</definedName>
    <definedName name="ONPKDT" localSheetId="6">#REF!</definedName>
    <definedName name="ONPKDT">#REF!</definedName>
    <definedName name="ONPKINCRKWH" localSheetId="6">#REF!</definedName>
    <definedName name="ONPKINCRKWH">#REF!</definedName>
    <definedName name="ONPKKVA" localSheetId="6">#REF!</definedName>
    <definedName name="ONPKKVA">#REF!</definedName>
    <definedName name="ONPKKVADT" localSheetId="6">#REF!</definedName>
    <definedName name="ONPKKVADT">#REF!</definedName>
    <definedName name="ONPKKVATM" localSheetId="6">#REF!</definedName>
    <definedName name="ONPKKVATM">#REF!</definedName>
    <definedName name="ONPKKW" localSheetId="6">#REF!</definedName>
    <definedName name="ONPKKW">#REF!</definedName>
    <definedName name="ONPKKWH1NOCMM" localSheetId="6">#REF!</definedName>
    <definedName name="ONPKKWH1NOCMM">#REF!</definedName>
    <definedName name="ONPKKWH3NOCMM" localSheetId="6">#REF!</definedName>
    <definedName name="ONPKKWH3NOCMM">#REF!</definedName>
    <definedName name="ONPKRCRDKWH" localSheetId="6">#REF!</definedName>
    <definedName name="ONPKRCRDKWH">#REF!</definedName>
    <definedName name="ONPKTM" localSheetId="6">#REF!</definedName>
    <definedName name="ONPKTM">#REF!</definedName>
    <definedName name="OPCBLKW" localSheetId="6">#REF!</definedName>
    <definedName name="OPCBLKW">#REF!</definedName>
    <definedName name="OPCO" localSheetId="6">#REF!</definedName>
    <definedName name="OPCO">#REF!</definedName>
    <definedName name="OPXCSKW" localSheetId="6">#REF!</definedName>
    <definedName name="OPXCSKW">#REF!</definedName>
    <definedName name="OPXCSKWDT" localSheetId="6">#REF!</definedName>
    <definedName name="OPXCSKWDT">#REF!</definedName>
    <definedName name="OPXCSKWH" localSheetId="6">#REF!</definedName>
    <definedName name="OPXCSKWH">#REF!</definedName>
    <definedName name="OPXCSKWTM" localSheetId="6">#REF!</definedName>
    <definedName name="OPXCSKWTM">#REF!</definedName>
    <definedName name="OTHRTRNSKWH" localSheetId="6">#REF!</definedName>
    <definedName name="OTHRTRNSKWH">#REF!</definedName>
    <definedName name="P1PENPERC" localSheetId="6">#REF!</definedName>
    <definedName name="P1PENPERC">#REF!</definedName>
    <definedName name="P2PENPERC" localSheetId="6">#REF!</definedName>
    <definedName name="P2PENPERC">#REF!</definedName>
    <definedName name="PAGEA" localSheetId="6">#REF!</definedName>
    <definedName name="PAGEA">#REF!</definedName>
    <definedName name="PAGEB" localSheetId="6">#REF!</definedName>
    <definedName name="PAGEB">#REF!</definedName>
    <definedName name="PAGEC" localSheetId="6">#REF!</definedName>
    <definedName name="PAGEC">#REF!</definedName>
    <definedName name="PAGED" localSheetId="6">#REF!</definedName>
    <definedName name="PAGED">#REF!</definedName>
    <definedName name="PeakDemandChg" localSheetId="6">#REF!</definedName>
    <definedName name="PeakDemandChg">#REF!</definedName>
    <definedName name="PenaltyDays" localSheetId="6">#REF!</definedName>
    <definedName name="PenaltyDays">#REF!</definedName>
    <definedName name="PenaltyPct" localSheetId="6">#REF!</definedName>
    <definedName name="PenaltyPct">#REF!</definedName>
    <definedName name="PENDAYS" localSheetId="6">#REF!</definedName>
    <definedName name="PENDAYS">#REF!</definedName>
    <definedName name="PENDAYS2" localSheetId="6">#REF!</definedName>
    <definedName name="PENDAYS2">#REF!</definedName>
    <definedName name="PFCC" localSheetId="6">#REF!</definedName>
    <definedName name="PFCC">#REF!</definedName>
    <definedName name="PKKVAR" localSheetId="6">#REF!</definedName>
    <definedName name="PKKVAR">#REF!</definedName>
    <definedName name="PKKVARDATE" localSheetId="6">#REF!</definedName>
    <definedName name="PKKVARDATE">#REF!</definedName>
    <definedName name="PKKVARTIME" localSheetId="6">#REF!</definedName>
    <definedName name="PKKVARTIME">#REF!</definedName>
    <definedName name="PLVLKWH1" localSheetId="6">#REF!</definedName>
    <definedName name="PLVLKWH1">#REF!</definedName>
    <definedName name="PLVLKWH1A" localSheetId="6">#REF!</definedName>
    <definedName name="PLVLKWH1A">#REF!</definedName>
    <definedName name="PLVLKWH2" localSheetId="6">#REF!</definedName>
    <definedName name="PLVLKWH2">#REF!</definedName>
    <definedName name="PLVLKWH23A" localSheetId="6">#REF!</definedName>
    <definedName name="PLVLKWH23A">#REF!</definedName>
    <definedName name="PLVLKWH25" localSheetId="6">#REF!</definedName>
    <definedName name="PLVLKWH25">#REF!</definedName>
    <definedName name="PLVLKWH2A" localSheetId="6">#REF!</definedName>
    <definedName name="PLVLKWH2A">#REF!</definedName>
    <definedName name="PLVLKWH3" localSheetId="6">#REF!</definedName>
    <definedName name="PLVLKWH3">#REF!</definedName>
    <definedName name="PLVLKWH3A" localSheetId="6">#REF!</definedName>
    <definedName name="PLVLKWH3A">#REF!</definedName>
    <definedName name="PLVLKWH4" localSheetId="6">#REF!</definedName>
    <definedName name="PLVLKWH4">#REF!</definedName>
    <definedName name="PLVLKWH4A" localSheetId="6">#REF!</definedName>
    <definedName name="PLVLKWH4A">#REF!</definedName>
    <definedName name="PRICEDESIG" localSheetId="6">#REF!</definedName>
    <definedName name="PRICEDESIG">#REF!</definedName>
    <definedName name="PriMoAddr1" localSheetId="6">#REF!</definedName>
    <definedName name="PriMoAddr1">#REF!</definedName>
    <definedName name="PriMoAddr2" localSheetId="6">#REF!</definedName>
    <definedName name="PriMoAddr2">#REF!</definedName>
    <definedName name="PriMoBTDetail" localSheetId="6">#REF!</definedName>
    <definedName name="PriMoBTDetail">#REF!</definedName>
    <definedName name="PriMoBuyThrgh_Sheet" localSheetId="6">#REF!</definedName>
    <definedName name="PriMoBuyThrgh_Sheet">#REF!</definedName>
    <definedName name="PriMoCityStZip" localSheetId="6">#REF!</definedName>
    <definedName name="PriMoCityStZip">#REF!</definedName>
    <definedName name="PriMoCustName" localSheetId="6">#REF!</definedName>
    <definedName name="PriMoCustName">#REF!</definedName>
    <definedName name="PriMoMtrMult" localSheetId="6">#REF!</definedName>
    <definedName name="PriMoMtrMult">#REF!</definedName>
    <definedName name="_xlnm.Print_Area" localSheetId="22">#REF!</definedName>
    <definedName name="_xlnm.Print_Area" localSheetId="0">TCOS!$A$1:$L$394</definedName>
    <definedName name="_xlnm.Print_Area" localSheetId="26">'WPC-WS P Dep. Rates'!#REF!</definedName>
    <definedName name="_xlnm.Print_Area" localSheetId="4">'WS B-2 - Actual Stmt. AG'!$A$1:$S$128</definedName>
    <definedName name="_xlnm.Print_Area" localSheetId="5">'WS B-3'!$A$1:$R$66</definedName>
    <definedName name="_xlnm.Print_Area" localSheetId="6">#REF!</definedName>
    <definedName name="_xlnm.Print_Area" localSheetId="12">'WS H Other Taxes'!$A$1:$M$75</definedName>
    <definedName name="_xlnm.Print_Area" localSheetId="14">'WS I Reserved'!$A$1:$L$60</definedName>
    <definedName name="_xlnm.Print_Area" localSheetId="15">'WS J PROJECTED RTEP RR'!$A$1:$O$2042</definedName>
    <definedName name="_xlnm.Print_Area" localSheetId="16">'WS K TRUE-UP RTEP RR'!$A$1:$P$2066</definedName>
    <definedName name="_xlnm.Print_Area" localSheetId="17">'WS L Reserved'!$A$1:$F$27</definedName>
    <definedName name="_xlnm.Print_Area" localSheetId="18">'WS M - Cost of Capital'!$A$1:$L$106</definedName>
    <definedName name="_xlnm.Print_Area" localSheetId="20">'WS O - PBOP'!$A$1:$K$57</definedName>
    <definedName name="_xlnm.Print_Area" localSheetId="27">'WSQ NSPR'!$A$1:$K$57</definedName>
    <definedName name="_xlnm.Print_Area">#REF!</definedName>
    <definedName name="_xlnm.Print_Titles" localSheetId="26">'WPC-WS P Dep. Rates'!#REF!</definedName>
    <definedName name="PRVCNT" localSheetId="22">#REF!</definedName>
    <definedName name="PRVCNT" localSheetId="6">#REF!</definedName>
    <definedName name="PRVCNT">#REF!</definedName>
    <definedName name="PRVDATE" localSheetId="22">#REF!</definedName>
    <definedName name="PRVDATE" localSheetId="6">#REF!</definedName>
    <definedName name="PRVDATE">#REF!</definedName>
    <definedName name="PRVFUEL" localSheetId="22">#REF!</definedName>
    <definedName name="PRVFUEL" localSheetId="6">#REF!</definedName>
    <definedName name="PRVFUEL">#REF!</definedName>
    <definedName name="PRVKW" localSheetId="6">#REF!</definedName>
    <definedName name="PRVKW">#REF!</definedName>
    <definedName name="PRVKWH" localSheetId="6">#REF!</definedName>
    <definedName name="PRVKWH">#REF!</definedName>
    <definedName name="PRVMSRR" localSheetId="6">#REF!</definedName>
    <definedName name="PRVMSRR">#REF!</definedName>
    <definedName name="PRVPFCC" localSheetId="6">#REF!</definedName>
    <definedName name="PRVPFCC">#REF!</definedName>
    <definedName name="PSO_Proj_Allocators" localSheetId="6">#REF!</definedName>
    <definedName name="PSO_Proj_Allocators">#REF!</definedName>
    <definedName name="PSOallocatorsP" localSheetId="6">#REF!</definedName>
    <definedName name="PSOallocatorsP">#REF!</definedName>
    <definedName name="PVHIOFPCBL" localSheetId="6">#REF!</definedName>
    <definedName name="PVHIOFPCBL">#REF!</definedName>
    <definedName name="PVHIOPCBL" localSheetId="6">#REF!</definedName>
    <definedName name="PVHIOPCBL">#REF!</definedName>
    <definedName name="RatchetFactor" localSheetId="6">#REF!</definedName>
    <definedName name="RatchetFactor">#REF!</definedName>
    <definedName name="RCRDRID" localSheetId="6">#REF!</definedName>
    <definedName name="RCRDRID">#REF!</definedName>
    <definedName name="RCTVHRS" localSheetId="6">#REF!</definedName>
    <definedName name="RCTVHRS">#REF!</definedName>
    <definedName name="RDRBLK1C" localSheetId="6">#REF!</definedName>
    <definedName name="RDRBLK1C">#REF!</definedName>
    <definedName name="RDRBLK1Q" localSheetId="6">#REF!</definedName>
    <definedName name="RDRBLK1Q">#REF!</definedName>
    <definedName name="RDRBLK2C" localSheetId="6">#REF!</definedName>
    <definedName name="RDRBLK2C">#REF!</definedName>
    <definedName name="RDRBLK2Q" localSheetId="6">#REF!</definedName>
    <definedName name="RDRBLK2Q">#REF!</definedName>
    <definedName name="RDRBLK3C" localSheetId="6">#REF!</definedName>
    <definedName name="RDRBLK3C">#REF!</definedName>
    <definedName name="RDRBLK3Q" localSheetId="6">#REF!</definedName>
    <definedName name="RDRBLK3Q">#REF!</definedName>
    <definedName name="RDRBLKTC" localSheetId="6">#REF!</definedName>
    <definedName name="RDRBLKTC">#REF!</definedName>
    <definedName name="RDRBLKTC1" localSheetId="6">#REF!</definedName>
    <definedName name="RDRBLKTC1">#REF!</definedName>
    <definedName name="RDRBLKTC10" localSheetId="6">#REF!</definedName>
    <definedName name="RDRBLKTC10">#REF!</definedName>
    <definedName name="RDRBLKTC11" localSheetId="6">#REF!</definedName>
    <definedName name="RDRBLKTC11">#REF!</definedName>
    <definedName name="RDRBLKTC12" localSheetId="6">#REF!</definedName>
    <definedName name="RDRBLKTC12">#REF!</definedName>
    <definedName name="RDRBLKTC13" localSheetId="6">#REF!</definedName>
    <definedName name="RDRBLKTC13">#REF!</definedName>
    <definedName name="RDRBLKTC14" localSheetId="6">#REF!</definedName>
    <definedName name="RDRBLKTC14">#REF!</definedName>
    <definedName name="RDRBLKTC15" localSheetId="6">#REF!</definedName>
    <definedName name="RDRBLKTC15">#REF!</definedName>
    <definedName name="RDRBLKTC16" localSheetId="6">#REF!</definedName>
    <definedName name="RDRBLKTC16">#REF!</definedName>
    <definedName name="RDRBLKTC17" localSheetId="6">#REF!</definedName>
    <definedName name="RDRBLKTC17">#REF!</definedName>
    <definedName name="RDRBLKTC18" localSheetId="6">#REF!</definedName>
    <definedName name="RDRBLKTC18">#REF!</definedName>
    <definedName name="RDRBLKTC19" localSheetId="6">#REF!</definedName>
    <definedName name="RDRBLKTC19">#REF!</definedName>
    <definedName name="RDRBLKTC2" localSheetId="6">#REF!</definedName>
    <definedName name="RDRBLKTC2">#REF!</definedName>
    <definedName name="RDRBLKTC20" localSheetId="6">#REF!</definedName>
    <definedName name="RDRBLKTC20">#REF!</definedName>
    <definedName name="RDRBLKTC3" localSheetId="6">#REF!</definedName>
    <definedName name="RDRBLKTC3">#REF!</definedName>
    <definedName name="RDRBLKTC4" localSheetId="6">#REF!</definedName>
    <definedName name="RDRBLKTC4">#REF!</definedName>
    <definedName name="RDRBLKTC5" localSheetId="6">#REF!</definedName>
    <definedName name="RDRBLKTC5">#REF!</definedName>
    <definedName name="RDRBLKTC6" localSheetId="6">#REF!</definedName>
    <definedName name="RDRBLKTC6">#REF!</definedName>
    <definedName name="RDRBLKTC7" localSheetId="6">#REF!</definedName>
    <definedName name="RDRBLKTC7">#REF!</definedName>
    <definedName name="RDRBLKTC8" localSheetId="6">#REF!</definedName>
    <definedName name="RDRBLKTC8">#REF!</definedName>
    <definedName name="RDRBLKTC9" localSheetId="6">#REF!</definedName>
    <definedName name="RDRBLKTC9">#REF!</definedName>
    <definedName name="RDRBLKTQ" localSheetId="6">#REF!</definedName>
    <definedName name="RDRBLKTQ">#REF!</definedName>
    <definedName name="RDRCODE" localSheetId="6">#REF!</definedName>
    <definedName name="RDRCODE">#REF!</definedName>
    <definedName name="RDRCYCLE" localSheetId="6">#REF!</definedName>
    <definedName name="RDRCYCLE">#REF!</definedName>
    <definedName name="RDRDATE" localSheetId="6">#REF!</definedName>
    <definedName name="RDRDATE">#REF!</definedName>
    <definedName name="RDRNAME" localSheetId="6">#REF!</definedName>
    <definedName name="RDRNAME">#REF!</definedName>
    <definedName name="RDRRATEB" localSheetId="6">#REF!</definedName>
    <definedName name="RDRRATEB">#REF!</definedName>
    <definedName name="RDRRATEB1" localSheetId="6">#REF!</definedName>
    <definedName name="RDRRATEB1">#REF!</definedName>
    <definedName name="RDRRATEB10" localSheetId="6">#REF!</definedName>
    <definedName name="RDRRATEB10">#REF!</definedName>
    <definedName name="RDRRATEB11" localSheetId="6">#REF!</definedName>
    <definedName name="RDRRATEB11">#REF!</definedName>
    <definedName name="RDRRATEB12" localSheetId="6">#REF!</definedName>
    <definedName name="RDRRATEB12">#REF!</definedName>
    <definedName name="RDRRATEB13" localSheetId="6">#REF!</definedName>
    <definedName name="RDRRATEB13">#REF!</definedName>
    <definedName name="RDRRATEB14" localSheetId="6">#REF!</definedName>
    <definedName name="RDRRATEB14">#REF!</definedName>
    <definedName name="RDRRATEB15" localSheetId="6">#REF!</definedName>
    <definedName name="RDRRATEB15">#REF!</definedName>
    <definedName name="RDRRATEB16" localSheetId="6">#REF!</definedName>
    <definedName name="RDRRATEB16">#REF!</definedName>
    <definedName name="RDRRATEB17" localSheetId="6">#REF!</definedName>
    <definedName name="RDRRATEB17">#REF!</definedName>
    <definedName name="RDRRATEB18" localSheetId="6">#REF!</definedName>
    <definedName name="RDRRATEB18">#REF!</definedName>
    <definedName name="RDRRATEB19" localSheetId="6">#REF!</definedName>
    <definedName name="RDRRATEB19">#REF!</definedName>
    <definedName name="RDRRATEB2" localSheetId="6">#REF!</definedName>
    <definedName name="RDRRATEB2">#REF!</definedName>
    <definedName name="RDRRATEB20" localSheetId="6">#REF!</definedName>
    <definedName name="RDRRATEB20">#REF!</definedName>
    <definedName name="RDRRATEB3" localSheetId="6">#REF!</definedName>
    <definedName name="RDRRATEB3">#REF!</definedName>
    <definedName name="RDRRATEB4" localSheetId="6">#REF!</definedName>
    <definedName name="RDRRATEB4">#REF!</definedName>
    <definedName name="RDRRATEB5" localSheetId="6">#REF!</definedName>
    <definedName name="RDRRATEB5">#REF!</definedName>
    <definedName name="RDRRATEB6" localSheetId="6">#REF!</definedName>
    <definedName name="RDRRATEB6">#REF!</definedName>
    <definedName name="RDRRATEB7" localSheetId="6">#REF!</definedName>
    <definedName name="RDRRATEB7">#REF!</definedName>
    <definedName name="RDRRATEB8" localSheetId="6">#REF!</definedName>
    <definedName name="RDRRATEB8">#REF!</definedName>
    <definedName name="RDRRATEB9" localSheetId="6">#REF!</definedName>
    <definedName name="RDRRATEB9">#REF!</definedName>
    <definedName name="RDRRATED" localSheetId="6">#REF!</definedName>
    <definedName name="RDRRATED">#REF!</definedName>
    <definedName name="RDRRATED1" localSheetId="6">#REF!</definedName>
    <definedName name="RDRRATED1">#REF!</definedName>
    <definedName name="RDRRATED10" localSheetId="6">#REF!</definedName>
    <definedName name="RDRRATED10">#REF!</definedName>
    <definedName name="RDRRATED11" localSheetId="6">#REF!</definedName>
    <definedName name="RDRRATED11">#REF!</definedName>
    <definedName name="RDRRATED12" localSheetId="6">#REF!</definedName>
    <definedName name="RDRRATED12">#REF!</definedName>
    <definedName name="RDRRATED13" localSheetId="6">#REF!</definedName>
    <definedName name="RDRRATED13">#REF!</definedName>
    <definedName name="RDRRATED14" localSheetId="6">#REF!</definedName>
    <definedName name="RDRRATED14">#REF!</definedName>
    <definedName name="RDRRATED15" localSheetId="6">#REF!</definedName>
    <definedName name="RDRRATED15">#REF!</definedName>
    <definedName name="RDRRATED16" localSheetId="6">#REF!</definedName>
    <definedName name="RDRRATED16">#REF!</definedName>
    <definedName name="RDRRATED17" localSheetId="6">#REF!</definedName>
    <definedName name="RDRRATED17">#REF!</definedName>
    <definedName name="RDRRATED18" localSheetId="6">#REF!</definedName>
    <definedName name="RDRRATED18">#REF!</definedName>
    <definedName name="RDRRATED19" localSheetId="6">#REF!</definedName>
    <definedName name="RDRRATED19">#REF!</definedName>
    <definedName name="RDRRATED2" localSheetId="6">#REF!</definedName>
    <definedName name="RDRRATED2">#REF!</definedName>
    <definedName name="RDRRATED20" localSheetId="6">#REF!</definedName>
    <definedName name="RDRRATED20">#REF!</definedName>
    <definedName name="RDRRATED3" localSheetId="6">#REF!</definedName>
    <definedName name="RDRRATED3">#REF!</definedName>
    <definedName name="RDRRATED4" localSheetId="6">#REF!</definedName>
    <definedName name="RDRRATED4">#REF!</definedName>
    <definedName name="RDRRATED5" localSheetId="6">#REF!</definedName>
    <definedName name="RDRRATED5">#REF!</definedName>
    <definedName name="RDRRATED6" localSheetId="6">#REF!</definedName>
    <definedName name="RDRRATED6">#REF!</definedName>
    <definedName name="RDRRATED7" localSheetId="6">#REF!</definedName>
    <definedName name="RDRRATED7">#REF!</definedName>
    <definedName name="RDRRATED8" localSheetId="6">#REF!</definedName>
    <definedName name="RDRRATED8">#REF!</definedName>
    <definedName name="RDRRATED9" localSheetId="6">#REF!</definedName>
    <definedName name="RDRRATED9">#REF!</definedName>
    <definedName name="RDRRATEG" localSheetId="6">#REF!</definedName>
    <definedName name="RDRRATEG">#REF!</definedName>
    <definedName name="RDRRATEG1" localSheetId="6">#REF!</definedName>
    <definedName name="RDRRATEG1">#REF!</definedName>
    <definedName name="RDRRATEG10" localSheetId="6">#REF!</definedName>
    <definedName name="RDRRATEG10">#REF!</definedName>
    <definedName name="RDRRATEG11" localSheetId="6">#REF!</definedName>
    <definedName name="RDRRATEG11">#REF!</definedName>
    <definedName name="RDRRATEG12" localSheetId="6">#REF!</definedName>
    <definedName name="RDRRATEG12">#REF!</definedName>
    <definedName name="RDRRATEG13" localSheetId="6">#REF!</definedName>
    <definedName name="RDRRATEG13">#REF!</definedName>
    <definedName name="RDRRATEG14" localSheetId="6">#REF!</definedName>
    <definedName name="RDRRATEG14">#REF!</definedName>
    <definedName name="RDRRATEG15" localSheetId="6">#REF!</definedName>
    <definedName name="RDRRATEG15">#REF!</definedName>
    <definedName name="RDRRATEG16" localSheetId="6">#REF!</definedName>
    <definedName name="RDRRATEG16">#REF!</definedName>
    <definedName name="RDRRATEG17" localSheetId="6">#REF!</definedName>
    <definedName name="RDRRATEG17">#REF!</definedName>
    <definedName name="RDRRATEG18" localSheetId="6">#REF!</definedName>
    <definedName name="RDRRATEG18">#REF!</definedName>
    <definedName name="RDRRATEG19" localSheetId="6">#REF!</definedName>
    <definedName name="RDRRATEG19">#REF!</definedName>
    <definedName name="RDRRATEG2" localSheetId="6">#REF!</definedName>
    <definedName name="RDRRATEG2">#REF!</definedName>
    <definedName name="RDRRATEG20" localSheetId="6">#REF!</definedName>
    <definedName name="RDRRATEG20">#REF!</definedName>
    <definedName name="RDRRATEG3" localSheetId="6">#REF!</definedName>
    <definedName name="RDRRATEG3">#REF!</definedName>
    <definedName name="RDRRATEG4" localSheetId="6">#REF!</definedName>
    <definedName name="RDRRATEG4">#REF!</definedName>
    <definedName name="RDRRATEG5" localSheetId="6">#REF!</definedName>
    <definedName name="RDRRATEG5">#REF!</definedName>
    <definedName name="RDRRATEG6" localSheetId="6">#REF!</definedName>
    <definedName name="RDRRATEG6">#REF!</definedName>
    <definedName name="RDRRATEG7" localSheetId="6">#REF!</definedName>
    <definedName name="RDRRATEG7">#REF!</definedName>
    <definedName name="RDRRATEG8" localSheetId="6">#REF!</definedName>
    <definedName name="RDRRATEG8">#REF!</definedName>
    <definedName name="RDRRATEG9" localSheetId="6">#REF!</definedName>
    <definedName name="RDRRATEG9">#REF!</definedName>
    <definedName name="RDRRATET" localSheetId="6">#REF!</definedName>
    <definedName name="RDRRATET">#REF!</definedName>
    <definedName name="RDRRATET1" localSheetId="6">#REF!</definedName>
    <definedName name="RDRRATET1">#REF!</definedName>
    <definedName name="RDRRATET10" localSheetId="6">#REF!</definedName>
    <definedName name="RDRRATET10">#REF!</definedName>
    <definedName name="RDRRATET11" localSheetId="6">#REF!</definedName>
    <definedName name="RDRRATET11">#REF!</definedName>
    <definedName name="RDRRATET12" localSheetId="6">#REF!</definedName>
    <definedName name="RDRRATET12">#REF!</definedName>
    <definedName name="RDRRATET13" localSheetId="6">#REF!</definedName>
    <definedName name="RDRRATET13">#REF!</definedName>
    <definedName name="RDRRATET14" localSheetId="6">#REF!</definedName>
    <definedName name="RDRRATET14">#REF!</definedName>
    <definedName name="RDRRATET15" localSheetId="6">#REF!</definedName>
    <definedName name="RDRRATET15">#REF!</definedName>
    <definedName name="RDRRATET16" localSheetId="6">#REF!</definedName>
    <definedName name="RDRRATET16">#REF!</definedName>
    <definedName name="RDRRATET17" localSheetId="6">#REF!</definedName>
    <definedName name="RDRRATET17">#REF!</definedName>
    <definedName name="RDRRATET18" localSheetId="6">#REF!</definedName>
    <definedName name="RDRRATET18">#REF!</definedName>
    <definedName name="RDRRATET19" localSheetId="6">#REF!</definedName>
    <definedName name="RDRRATET19">#REF!</definedName>
    <definedName name="RDRRATET2" localSheetId="6">#REF!</definedName>
    <definedName name="RDRRATET2">#REF!</definedName>
    <definedName name="RDRRATET20" localSheetId="6">#REF!</definedName>
    <definedName name="RDRRATET20">#REF!</definedName>
    <definedName name="RDRRATET3" localSheetId="6">#REF!</definedName>
    <definedName name="RDRRATET3">#REF!</definedName>
    <definedName name="RDRRATET4" localSheetId="6">#REF!</definedName>
    <definedName name="RDRRATET4">#REF!</definedName>
    <definedName name="RDRRATET5" localSheetId="6">#REF!</definedName>
    <definedName name="RDRRATET5">#REF!</definedName>
    <definedName name="RDRRATET6" localSheetId="6">#REF!</definedName>
    <definedName name="RDRRATET6">#REF!</definedName>
    <definedName name="RDRRATET7" localSheetId="6">#REF!</definedName>
    <definedName name="RDRRATET7">#REF!</definedName>
    <definedName name="RDRRATET8" localSheetId="6">#REF!</definedName>
    <definedName name="RDRRATET8">#REF!</definedName>
    <definedName name="RDRRATET9" localSheetId="6">#REF!</definedName>
    <definedName name="RDRRATET9">#REF!</definedName>
    <definedName name="RDRTYPE" localSheetId="6">#REF!</definedName>
    <definedName name="RDRTYPE">#REF!</definedName>
    <definedName name="RDRUNITS" localSheetId="6">#REF!</definedName>
    <definedName name="RDRUNITS">#REF!</definedName>
    <definedName name="_xlnm.Recorder" localSheetId="6">#REF!</definedName>
    <definedName name="_xlnm.Recorder">#REF!</definedName>
    <definedName name="Reserved_Section" localSheetId="6">#REF!</definedName>
    <definedName name="Reserved_Section">#REF!</definedName>
    <definedName name="RIDERS" localSheetId="6">#REF!</definedName>
    <definedName name="RIDERS">#REF!</definedName>
    <definedName name="RKVAHRDNG" localSheetId="6">#REF!</definedName>
    <definedName name="RKVAHRDNG">#REF!</definedName>
    <definedName name="RTCHTCNTRCTCPCT" localSheetId="6">#REF!</definedName>
    <definedName name="RTCHTCNTRCTCPCT">#REF!</definedName>
    <definedName name="RTCHTFCTR" localSheetId="6">#REF!</definedName>
    <definedName name="RTCHTFCTR">#REF!</definedName>
    <definedName name="RTCHTFCTR2" localSheetId="6">#REF!</definedName>
    <definedName name="RTCHTFCTR2">#REF!</definedName>
    <definedName name="RTCHTHIPREVKW" localSheetId="6">#REF!</definedName>
    <definedName name="RTCHTHIPREVKW">#REF!</definedName>
    <definedName name="RTP_Detail" localSheetId="6">#REF!</definedName>
    <definedName name="RTP_Detail">#REF!</definedName>
    <definedName name="RTPLRKW" localSheetId="6">#REF!</definedName>
    <definedName name="RTPLRKW">#REF!</definedName>
    <definedName name="SDI" localSheetId="6">#REF!</definedName>
    <definedName name="SDI">#REF!</definedName>
    <definedName name="SHLDRPKKW" localSheetId="6">#REF!</definedName>
    <definedName name="SHLDRPKKW">#REF!</definedName>
    <definedName name="SHLDRPKKWDT" localSheetId="6">#REF!</definedName>
    <definedName name="SHLDRPKKWDT">#REF!</definedName>
    <definedName name="SHLDRPKKWTM" localSheetId="6">#REF!</definedName>
    <definedName name="SHLDRPKKWTM">#REF!</definedName>
    <definedName name="SHRDTRNSKWH" localSheetId="6">#REF!</definedName>
    <definedName name="SHRDTRNSKWH">#REF!</definedName>
    <definedName name="SRPLSKWH" localSheetId="6">#REF!</definedName>
    <definedName name="SRPLSKWH">#REF!</definedName>
    <definedName name="STARTDTM" localSheetId="6">#REF!</definedName>
    <definedName name="STARTDTM">#REF!</definedName>
    <definedName name="State" localSheetId="6">#REF!</definedName>
    <definedName name="State">#REF!</definedName>
    <definedName name="STDKW" localSheetId="6">#REF!</definedName>
    <definedName name="STDKW">#REF!</definedName>
    <definedName name="STDKWDT" localSheetId="6">#REF!</definedName>
    <definedName name="STDKWDT">#REF!</definedName>
    <definedName name="STDKWTM" localSheetId="6">#REF!</definedName>
    <definedName name="STDKWTM">#REF!</definedName>
    <definedName name="STRTTIME" localSheetId="6">#REF!</definedName>
    <definedName name="STRTTIME">#REF!</definedName>
    <definedName name="SWP_Proj_Allocators" localSheetId="6">#REF!</definedName>
    <definedName name="SWP_Proj_Allocators">#REF!</definedName>
    <definedName name="SWPallocatorsH" localSheetId="6">#REF!</definedName>
    <definedName name="SWPallocatorsH">#REF!</definedName>
    <definedName name="SWPallocatorsP" localSheetId="6">#REF!</definedName>
    <definedName name="SWPallocatorsP">#REF!</definedName>
    <definedName name="SYSPKKW" localSheetId="6">#REF!</definedName>
    <definedName name="SYSPKKW">#REF!</definedName>
    <definedName name="SYSPKKWDT" localSheetId="6">#REF!</definedName>
    <definedName name="SYSPKKWDT">#REF!</definedName>
    <definedName name="SYSPKKWTM" localSheetId="6">#REF!</definedName>
    <definedName name="SYSPKKWTM">#REF!</definedName>
    <definedName name="TARIFF1" localSheetId="6">#REF!</definedName>
    <definedName name="TARIFF1">#REF!</definedName>
    <definedName name="TARIFF2" localSheetId="6">#REF!</definedName>
    <definedName name="TARIFF2">#REF!</definedName>
    <definedName name="TariffCode" localSheetId="6">#REF!</definedName>
    <definedName name="TariffCode">#REF!</definedName>
    <definedName name="TariffLongName" localSheetId="6">#REF!</definedName>
    <definedName name="TariffLongName">#REF!</definedName>
    <definedName name="TariffShortName" localSheetId="6">#REF!</definedName>
    <definedName name="TariffShortName">#REF!</definedName>
    <definedName name="TAXDATE" localSheetId="6">#REF!</definedName>
    <definedName name="TAXDATE">#REF!</definedName>
    <definedName name="TAXES" localSheetId="6">#REF!</definedName>
    <definedName name="TAXES">#REF!</definedName>
    <definedName name="TAXNAME" localSheetId="6">#REF!</definedName>
    <definedName name="TAXNAME">#REF!</definedName>
    <definedName name="TAXRATE" localSheetId="6">#REF!</definedName>
    <definedName name="TAXRATE">#REF!</definedName>
    <definedName name="TAXTYPE" localSheetId="6">#REF!</definedName>
    <definedName name="TAXTYPE">#REF!</definedName>
    <definedName name="TCst" localSheetId="6">#REF!</definedName>
    <definedName name="TCst">#REF!</definedName>
    <definedName name="TCst1" localSheetId="6">#REF!</definedName>
    <definedName name="TCst1">#REF!</definedName>
    <definedName name="TIRPCCHG" localSheetId="6">#REF!</definedName>
    <definedName name="TIRPCCHG">#REF!</definedName>
    <definedName name="TIRPDCHG1" localSheetId="6">#REF!</definedName>
    <definedName name="TIRPDCHG1">#REF!</definedName>
    <definedName name="TIRPDCHG2" localSheetId="6">#REF!</definedName>
    <definedName name="TIRPDCHG2">#REF!</definedName>
    <definedName name="TIRPECHG1" localSheetId="6">#REF!</definedName>
    <definedName name="TIRPECHG1">#REF!</definedName>
    <definedName name="TIRPECHGB1" localSheetId="6">#REF!</definedName>
    <definedName name="TIRPECHGB1">#REF!</definedName>
    <definedName name="TIRPECHGB2" localSheetId="6">#REF!</definedName>
    <definedName name="TIRPECHGB2">#REF!</definedName>
    <definedName name="TIRPECHGB3" localSheetId="6">#REF!</definedName>
    <definedName name="TIRPECHGB3">#REF!</definedName>
    <definedName name="TIRPMECHG1" localSheetId="6">#REF!</definedName>
    <definedName name="TIRPMECHG1">#REF!</definedName>
    <definedName name="TIRPMINDC" localSheetId="6">#REF!</definedName>
    <definedName name="TIRPMINDC">#REF!</definedName>
    <definedName name="TIRPMINEC" localSheetId="6">#REF!</definedName>
    <definedName name="TIRPMINEC">#REF!</definedName>
    <definedName name="TIRPOFKVA" localSheetId="6">#REF!</definedName>
    <definedName name="TIRPOFKVA">#REF!</definedName>
    <definedName name="TIRPOFKW" localSheetId="6">#REF!</definedName>
    <definedName name="TIRPOFKW">#REF!</definedName>
    <definedName name="TIRPOFKWH" localSheetId="6">#REF!</definedName>
    <definedName name="TIRPOFKWH">#REF!</definedName>
    <definedName name="TIRPOPKWH" localSheetId="6">#REF!</definedName>
    <definedName name="TIRPOPKWH">#REF!</definedName>
    <definedName name="TIRPP1EC" localSheetId="6">#REF!</definedName>
    <definedName name="TIRPP1EC">#REF!</definedName>
    <definedName name="TIRPP2EC" localSheetId="6">#REF!</definedName>
    <definedName name="TIRPP2EC">#REF!</definedName>
    <definedName name="TIRPP3EC" localSheetId="6">#REF!</definedName>
    <definedName name="TIRPP3EC">#REF!</definedName>
    <definedName name="TIRPP4EC" localSheetId="6">#REF!</definedName>
    <definedName name="TIRPP4EC">#REF!</definedName>
    <definedName name="TIRPP5EC" localSheetId="6">#REF!</definedName>
    <definedName name="TIRPP5EC">#REF!</definedName>
    <definedName name="TIRPRCHG" localSheetId="6">#REF!</definedName>
    <definedName name="TIRPRCHG">#REF!</definedName>
    <definedName name="TLsFctr" localSheetId="6">#REF!</definedName>
    <definedName name="TLsFctr">#REF!</definedName>
    <definedName name="TRCRDKWH" localSheetId="6">#REF!</definedName>
    <definedName name="TRCRDKWH">#REF!</definedName>
    <definedName name="TRCRDKWH2P" localSheetId="6">#REF!</definedName>
    <definedName name="TRCRDKWH2P">#REF!</definedName>
    <definedName name="TRFDATE1" localSheetId="6">#REF!</definedName>
    <definedName name="TRFDATE1">#REF!</definedName>
    <definedName name="TRFDATE2" localSheetId="6">#REF!</definedName>
    <definedName name="TRFDATE2">#REF!</definedName>
    <definedName name="TRFNAME1" localSheetId="6">#REF!</definedName>
    <definedName name="TRFNAME1">#REF!</definedName>
    <definedName name="TRFNAME2" localSheetId="6">#REF!</definedName>
    <definedName name="TRFNAME2">#REF!</definedName>
    <definedName name="TRFSHORTNM1" localSheetId="6">#REF!</definedName>
    <definedName name="TRFSHORTNM1">#REF!</definedName>
    <definedName name="TRFSHORTNM2" localSheetId="6">#REF!</definedName>
    <definedName name="TRFSHORTNM2">#REF!</definedName>
    <definedName name="TrnBlkKwhChg1" localSheetId="6">#REF!</definedName>
    <definedName name="TrnBlkKwhChg1">#REF!</definedName>
    <definedName name="TrnBlkKwhChg2" localSheetId="6">#REF!</definedName>
    <definedName name="TrnBlkKwhChg2">#REF!</definedName>
    <definedName name="TrnBlkKwhChg3" localSheetId="6">#REF!</definedName>
    <definedName name="TrnBlkKwhChg3">#REF!</definedName>
    <definedName name="TrnBlkKwhChgT" localSheetId="6">#REF!</definedName>
    <definedName name="TrnBlkKwhChgT">#REF!</definedName>
    <definedName name="TRNCCHG" localSheetId="6">#REF!</definedName>
    <definedName name="TRNCCHG">#REF!</definedName>
    <definedName name="TrnCustChg" localSheetId="6">#REF!</definedName>
    <definedName name="TrnCustChg">#REF!</definedName>
    <definedName name="TRNDCHG1" localSheetId="6">#REF!</definedName>
    <definedName name="TRNDCHG1">#REF!</definedName>
    <definedName name="TRNDCHG2" localSheetId="6">#REF!</definedName>
    <definedName name="TRNDCHG2">#REF!</definedName>
    <definedName name="TrnDmdChg1" localSheetId="6">#REF!</definedName>
    <definedName name="TrnDmdChg1">#REF!</definedName>
    <definedName name="TrnDmdChg2" localSheetId="6">#REF!</definedName>
    <definedName name="TrnDmdChg2">#REF!</definedName>
    <definedName name="TRNECHG1" localSheetId="6">#REF!</definedName>
    <definedName name="TRNECHG1">#REF!</definedName>
    <definedName name="TRNECHGB1" localSheetId="6">#REF!</definedName>
    <definedName name="TRNECHGB1">#REF!</definedName>
    <definedName name="TRNECHGB2" localSheetId="6">#REF!</definedName>
    <definedName name="TRNECHGB2">#REF!</definedName>
    <definedName name="TRNECHGB3" localSheetId="6">#REF!</definedName>
    <definedName name="TRNECHGB3">#REF!</definedName>
    <definedName name="TrnMEChg" localSheetId="6">#REF!</definedName>
    <definedName name="TrnMEChg">#REF!</definedName>
    <definedName name="TRNMECHG1" localSheetId="6">#REF!</definedName>
    <definedName name="TRNMECHG1">#REF!</definedName>
    <definedName name="TRNMINDC" localSheetId="6">#REF!</definedName>
    <definedName name="TRNMINDC">#REF!</definedName>
    <definedName name="TrnMinDChg" localSheetId="6">#REF!</definedName>
    <definedName name="TrnMinDChg">#REF!</definedName>
    <definedName name="TRNMINEC" localSheetId="6">#REF!</definedName>
    <definedName name="TRNMINEC">#REF!</definedName>
    <definedName name="TrnMinEChg" localSheetId="6">#REF!</definedName>
    <definedName name="TrnMinEChg">#REF!</definedName>
    <definedName name="TrnOffPkKwh" localSheetId="6">#REF!</definedName>
    <definedName name="TrnOffPkKwh">#REF!</definedName>
    <definedName name="TRNOFKWH" localSheetId="6">#REF!</definedName>
    <definedName name="TRNOFKWH">#REF!</definedName>
    <definedName name="TrnOnPkKwh" localSheetId="6">#REF!</definedName>
    <definedName name="TrnOnPkKwh">#REF!</definedName>
    <definedName name="TRNOPKWH" localSheetId="6">#REF!</definedName>
    <definedName name="TRNOPKWH">#REF!</definedName>
    <definedName name="TRNP1EC" localSheetId="6">#REF!</definedName>
    <definedName name="TRNP1EC">#REF!</definedName>
    <definedName name="TRNP2EC" localSheetId="6">#REF!</definedName>
    <definedName name="TRNP2EC">#REF!</definedName>
    <definedName name="TRNP3EC" localSheetId="6">#REF!</definedName>
    <definedName name="TRNP3EC">#REF!</definedName>
    <definedName name="TRNP4EC" localSheetId="6">#REF!</definedName>
    <definedName name="TRNP4EC">#REF!</definedName>
    <definedName name="TRNP5EC" localSheetId="6">#REF!</definedName>
    <definedName name="TRNP5EC">#REF!</definedName>
    <definedName name="TrnPL1Chg" localSheetId="6">#REF!</definedName>
    <definedName name="TrnPL1Chg">#REF!</definedName>
    <definedName name="TrnPL2Chg" localSheetId="6">#REF!</definedName>
    <definedName name="TrnPL2Chg">#REF!</definedName>
    <definedName name="TrnPL3Chg" localSheetId="6">#REF!</definedName>
    <definedName name="TrnPL3Chg">#REF!</definedName>
    <definedName name="TrnPL4Chg" localSheetId="6">#REF!</definedName>
    <definedName name="TrnPL4Chg">#REF!</definedName>
    <definedName name="TrnPL5Chg" localSheetId="6">#REF!</definedName>
    <definedName name="TrnPL5Chg">#REF!</definedName>
    <definedName name="TRNRCHG" localSheetId="6">#REF!</definedName>
    <definedName name="TRNRCHG">#REF!</definedName>
    <definedName name="TrnReactiveChg" localSheetId="6">#REF!</definedName>
    <definedName name="TrnReactiveChg">#REF!</definedName>
    <definedName name="TRNSKWTOFPK" localSheetId="6">#REF!</definedName>
    <definedName name="TRNSKWTOFPK">#REF!</definedName>
    <definedName name="TRNSKWTONPK" localSheetId="6">#REF!</definedName>
    <definedName name="TRNSKWTONPK">#REF!</definedName>
    <definedName name="TRNXOFKVA" localSheetId="6">#REF!</definedName>
    <definedName name="TRNXOFKVA">#REF!</definedName>
    <definedName name="TRNXOFKW" localSheetId="6">#REF!</definedName>
    <definedName name="TRNXOFKW">#REF!</definedName>
    <definedName name="TrnXOfpKvaChg" localSheetId="6">#REF!</definedName>
    <definedName name="TrnXOfpKvaChg">#REF!</definedName>
    <definedName name="TrnXOfpKwChg" localSheetId="6">#REF!</definedName>
    <definedName name="TrnXOfpKwChg">#REF!</definedName>
    <definedName name="TTLBSRATETTL" localSheetId="6">#REF!</definedName>
    <definedName name="TTLBSRATETTL">#REF!</definedName>
    <definedName name="TTLCOGENKWH" localSheetId="6">#REF!</definedName>
    <definedName name="TTLCOGENKWH">#REF!</definedName>
    <definedName name="UNBUNDIND" localSheetId="6">#REF!</definedName>
    <definedName name="UNBUNDIND">#REF!</definedName>
    <definedName name="Z_3768C7C8_9953_11DA_B318_000FB55D51DC_.wvu.PrintArea" localSheetId="7" hidden="1">'WS C  - Working Capital'!$A$10:$N$93</definedName>
    <definedName name="Z_3768C7C8_9953_11DA_B318_000FB55D51DC_.wvu.PrintTitles" localSheetId="7" hidden="1">'WS C  - Working Capital'!#REF!</definedName>
    <definedName name="Z_3768C7C8_9953_11DA_B318_000FB55D51DC_.wvu.Rows" localSheetId="7" hidden="1">'WS C  - Working Capital'!#REF!</definedName>
    <definedName name="Z_3BDD6235_B127_4929_8311_BDAF7BB89818_.wvu.PrintArea" localSheetId="7" hidden="1">'WS C  - Working Capital'!$A$10:$N$93</definedName>
    <definedName name="Z_3BDD6235_B127_4929_8311_BDAF7BB89818_.wvu.PrintTitles" localSheetId="7" hidden="1">'WS C  - Working Capital'!#REF!</definedName>
    <definedName name="Z_3BDD6235_B127_4929_8311_BDAF7BB89818_.wvu.Rows" localSheetId="7" hidden="1">'WS C  - Working Capital'!#REF!</definedName>
    <definedName name="Z_B0241363_5C8A_48FC_89A6_56D55586BABE_.wvu.PrintArea" localSheetId="7" hidden="1">'WS C  - Working Capital'!$A$10:$N$93</definedName>
    <definedName name="Z_B0241363_5C8A_48FC_89A6_56D55586BABE_.wvu.PrintTitles" localSheetId="7" hidden="1">'WS C  - Working Capital'!#REF!</definedName>
    <definedName name="Z_B0241363_5C8A_48FC_89A6_56D55586BABE_.wvu.Rows" localSheetId="7" hidden="1">'WS C  - Working Capital'!#REF!</definedName>
    <definedName name="Z_C0EA0F9F_7310_4201_82C9_7B8FC8DB9137_.wvu.PrintArea" localSheetId="7" hidden="1">'WS C  - Working Capital'!$A$10:$N$93</definedName>
    <definedName name="Z_C0EA0F9F_7310_4201_82C9_7B8FC8DB9137_.wvu.PrintTitles" localSheetId="7" hidden="1">'WS C  - Working Capital'!#REF!</definedName>
    <definedName name="Z_C0EA0F9F_7310_4201_82C9_7B8FC8DB9137_.wvu.Rows" localSheetId="7" hidden="1">'WS C  - Working Capital'!#REF!</definedName>
    <definedName name="Z_C5140E12_E05E_4473_9142_42F37320A417_.wvu.Cols" localSheetId="13" hidden="1">'WS H-1-Detail of Tax Amts'!#REF!</definedName>
    <definedName name="Z_C5140E12_E05E_4473_9142_42F37320A417_.wvu.PrintArea" localSheetId="13" hidden="1">'WS H-1-Detail of Tax Amts'!$A$3:$F$119</definedName>
    <definedName name="Z_C5140E12_E05E_4473_9142_42F37320A417_.wvu.PrintArea" localSheetId="15" hidden="1">'WS J PROJECTED RTEP RR'!$A$3:$O$81</definedName>
    <definedName name="Z_C5140E12_E05E_4473_9142_42F37320A417_.wvu.PrintTitles" localSheetId="13" hidden="1">'WS H-1-Detail of Tax Amts'!$3:$7</definedName>
    <definedName name="Zip" localSheetId="22">#REF!</definedName>
    <definedName name="Zip" localSheetId="6">#REF!</definedName>
    <definedName name="Zip">#REF!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3" i="39" l="1"/>
  <c r="C123" i="39"/>
  <c r="P57" i="51" l="1"/>
  <c r="P32" i="51"/>
  <c r="G148" i="2" l="1"/>
  <c r="P51" i="51" l="1"/>
  <c r="P50" i="51"/>
  <c r="P49" i="51"/>
  <c r="P48" i="51"/>
  <c r="Q47" i="51"/>
  <c r="P26" i="51"/>
  <c r="P25" i="51"/>
  <c r="P24" i="51"/>
  <c r="P23" i="51"/>
  <c r="Q22" i="51"/>
  <c r="K105" i="38" l="1"/>
  <c r="J105" i="38"/>
  <c r="I105" i="38"/>
  <c r="C105" i="38"/>
  <c r="K104" i="38"/>
  <c r="K103" i="38"/>
  <c r="K86" i="38"/>
  <c r="J86" i="38"/>
  <c r="I86" i="38"/>
  <c r="C86" i="38"/>
  <c r="J104" i="38"/>
  <c r="J103" i="38"/>
  <c r="I104" i="38"/>
  <c r="C104" i="38"/>
  <c r="I103" i="38"/>
  <c r="C103" i="38"/>
  <c r="I18" i="39"/>
  <c r="C18" i="39"/>
  <c r="D21" i="39"/>
  <c r="D22" i="39"/>
  <c r="D23" i="39"/>
  <c r="D25" i="39"/>
  <c r="D105" i="38" l="1"/>
  <c r="G105" i="38" s="1"/>
  <c r="D86" i="38"/>
  <c r="G86" i="38" s="1"/>
  <c r="D103" i="38"/>
  <c r="G103" i="38" s="1"/>
  <c r="D104" i="38"/>
  <c r="G104" i="38" s="1"/>
  <c r="K102" i="39" l="1"/>
  <c r="K101" i="39"/>
  <c r="K100" i="39"/>
  <c r="K18" i="39"/>
  <c r="J102" i="39"/>
  <c r="I102" i="39"/>
  <c r="C102" i="39"/>
  <c r="J100" i="39"/>
  <c r="D19" i="39"/>
  <c r="I101" i="39"/>
  <c r="C101" i="39"/>
  <c r="I100" i="39"/>
  <c r="C100" i="39"/>
  <c r="D20" i="39" l="1"/>
  <c r="D24" i="39"/>
  <c r="D26" i="39"/>
  <c r="J18" i="39"/>
  <c r="D18" i="39"/>
  <c r="G18" i="39" s="1"/>
  <c r="D101" i="39"/>
  <c r="G101" i="39" s="1"/>
  <c r="D102" i="39"/>
  <c r="G102" i="39" s="1"/>
  <c r="J101" i="39"/>
  <c r="D100" i="39"/>
  <c r="G100" i="39" s="1"/>
  <c r="E50" i="9" l="1"/>
  <c r="E52" i="9"/>
  <c r="D117" i="39"/>
  <c r="C117" i="39"/>
  <c r="K114" i="38"/>
  <c r="J114" i="38"/>
  <c r="I114" i="38"/>
  <c r="D114" i="38"/>
  <c r="C114" i="38"/>
  <c r="D51" i="38"/>
  <c r="C51" i="38"/>
  <c r="E49" i="9" l="1"/>
  <c r="G114" i="38"/>
  <c r="G51" i="38"/>
  <c r="K90" i="6" l="1"/>
  <c r="E90" i="6" s="1"/>
  <c r="K89" i="6"/>
  <c r="E89" i="6" s="1"/>
  <c r="E88" i="6"/>
  <c r="J87" i="6"/>
  <c r="K87" i="6" s="1"/>
  <c r="K86" i="6"/>
  <c r="E86" i="6" s="1"/>
  <c r="K85" i="6"/>
  <c r="E85" i="6" s="1"/>
  <c r="I84" i="6"/>
  <c r="K84" i="6" s="1"/>
  <c r="K83" i="6"/>
  <c r="E83" i="6" s="1"/>
  <c r="K82" i="6"/>
  <c r="E82" i="6" s="1"/>
  <c r="K81" i="6"/>
  <c r="E81" i="6" s="1"/>
  <c r="K80" i="6"/>
  <c r="E80" i="6" s="1"/>
  <c r="K79" i="6"/>
  <c r="E79" i="6" s="1"/>
  <c r="K78" i="6"/>
  <c r="E78" i="6" s="1"/>
  <c r="K77" i="6"/>
  <c r="E77" i="6" s="1"/>
  <c r="K75" i="6"/>
  <c r="E75" i="6" s="1"/>
  <c r="K74" i="6"/>
  <c r="E74" i="6" s="1"/>
  <c r="K73" i="6"/>
  <c r="E73" i="6" s="1"/>
  <c r="K72" i="6"/>
  <c r="E72" i="6" s="1"/>
  <c r="K71" i="6"/>
  <c r="E71" i="6" s="1"/>
  <c r="I70" i="6"/>
  <c r="K70" i="6" s="1"/>
  <c r="E70" i="6" s="1"/>
  <c r="F127" i="39"/>
  <c r="E127" i="39"/>
  <c r="O127" i="39"/>
  <c r="N127" i="39"/>
  <c r="M127" i="39"/>
  <c r="A17" i="39"/>
  <c r="A18" i="39" s="1"/>
  <c r="A19" i="39" s="1"/>
  <c r="A20" i="39" s="1"/>
  <c r="A21" i="39" s="1"/>
  <c r="A22" i="39" s="1"/>
  <c r="A23" i="39" s="1"/>
  <c r="A24" i="39" s="1"/>
  <c r="A28" i="38"/>
  <c r="A61" i="38"/>
  <c r="F57" i="38"/>
  <c r="E57" i="38"/>
  <c r="O57" i="38"/>
  <c r="N57" i="38"/>
  <c r="M57" i="38"/>
  <c r="J76" i="6" l="1"/>
  <c r="K76" i="6" s="1"/>
  <c r="E76" i="6" s="1"/>
  <c r="E87" i="6"/>
  <c r="E84" i="6"/>
  <c r="G185" i="2" l="1"/>
  <c r="E99" i="2"/>
  <c r="H252" i="2"/>
  <c r="H62" i="35"/>
  <c r="G62" i="35"/>
  <c r="L243" i="2" s="1"/>
  <c r="M42" i="35"/>
  <c r="G90" i="2" s="1"/>
  <c r="L42" i="35"/>
  <c r="G89" i="2" s="1"/>
  <c r="M23" i="35"/>
  <c r="G76" i="2" s="1"/>
  <c r="L23" i="35"/>
  <c r="G75" i="2" s="1"/>
  <c r="I19" i="6"/>
  <c r="G120" i="2" s="1"/>
  <c r="G99" i="2" l="1"/>
  <c r="L242" i="2"/>
  <c r="L244" i="2" s="1"/>
  <c r="L246" i="2" s="1"/>
  <c r="J184" i="2" l="1"/>
  <c r="L184" i="2" s="1"/>
  <c r="J166" i="2"/>
  <c r="J120" i="2"/>
  <c r="L120" i="2" s="1"/>
  <c r="J90" i="2"/>
  <c r="L90" i="2" s="1"/>
  <c r="J89" i="2"/>
  <c r="L89" i="2" s="1"/>
  <c r="J76" i="2"/>
  <c r="L76" i="2" s="1"/>
  <c r="J252" i="2"/>
  <c r="L252" i="2" s="1"/>
  <c r="J75" i="2"/>
  <c r="L75" i="2" s="1"/>
  <c r="L99" i="2" l="1"/>
  <c r="C61" i="38" l="1"/>
  <c r="D61" i="38"/>
  <c r="I61" i="38"/>
  <c r="J61" i="38"/>
  <c r="K61" i="38"/>
  <c r="C62" i="38"/>
  <c r="D62" i="38"/>
  <c r="I62" i="38"/>
  <c r="J62" i="38"/>
  <c r="K62" i="38"/>
  <c r="C63" i="38"/>
  <c r="D63" i="38"/>
  <c r="I63" i="38"/>
  <c r="J63" i="38"/>
  <c r="K63" i="38"/>
  <c r="C64" i="38"/>
  <c r="D64" i="38"/>
  <c r="I64" i="38"/>
  <c r="J64" i="38"/>
  <c r="K64" i="38"/>
  <c r="C65" i="38"/>
  <c r="D65" i="38"/>
  <c r="I65" i="38"/>
  <c r="J65" i="38"/>
  <c r="K65" i="38"/>
  <c r="C66" i="38"/>
  <c r="D66" i="38"/>
  <c r="I66" i="38"/>
  <c r="J66" i="38"/>
  <c r="K66" i="38"/>
  <c r="C67" i="38"/>
  <c r="D67" i="38"/>
  <c r="I67" i="38"/>
  <c r="J67" i="38"/>
  <c r="K67" i="38"/>
  <c r="C68" i="38"/>
  <c r="D68" i="38"/>
  <c r="I68" i="38"/>
  <c r="J68" i="38"/>
  <c r="K68" i="38"/>
  <c r="C69" i="38"/>
  <c r="D69" i="38"/>
  <c r="I69" i="38"/>
  <c r="J69" i="38"/>
  <c r="K69" i="38"/>
  <c r="C70" i="38"/>
  <c r="D70" i="38"/>
  <c r="I70" i="38"/>
  <c r="J70" i="38"/>
  <c r="K70" i="38"/>
  <c r="C71" i="38"/>
  <c r="D71" i="38"/>
  <c r="I71" i="38"/>
  <c r="J71" i="38"/>
  <c r="K71" i="38"/>
  <c r="C72" i="38"/>
  <c r="D72" i="38"/>
  <c r="I72" i="38"/>
  <c r="J72" i="38"/>
  <c r="K72" i="38"/>
  <c r="C73" i="38"/>
  <c r="D73" i="38"/>
  <c r="I73" i="38"/>
  <c r="J73" i="38"/>
  <c r="K73" i="38"/>
  <c r="C74" i="38"/>
  <c r="D74" i="38"/>
  <c r="I74" i="38"/>
  <c r="J74" i="38"/>
  <c r="K74" i="38"/>
  <c r="C75" i="38"/>
  <c r="D75" i="38"/>
  <c r="I75" i="38"/>
  <c r="J75" i="38"/>
  <c r="K75" i="38"/>
  <c r="C76" i="38"/>
  <c r="D76" i="38"/>
  <c r="I76" i="38"/>
  <c r="J76" i="38"/>
  <c r="K76" i="38"/>
  <c r="C77" i="38"/>
  <c r="D77" i="38"/>
  <c r="I77" i="38"/>
  <c r="J77" i="38"/>
  <c r="K77" i="38"/>
  <c r="C78" i="38"/>
  <c r="D78" i="38"/>
  <c r="I78" i="38"/>
  <c r="J78" i="38"/>
  <c r="K78" i="38"/>
  <c r="C79" i="38"/>
  <c r="D79" i="38"/>
  <c r="I79" i="38"/>
  <c r="J79" i="38"/>
  <c r="K79" i="38"/>
  <c r="C80" i="38"/>
  <c r="D80" i="38"/>
  <c r="I80" i="38"/>
  <c r="J80" i="38"/>
  <c r="K80" i="38"/>
  <c r="C81" i="38"/>
  <c r="D81" i="38"/>
  <c r="I81" i="38"/>
  <c r="J81" i="38"/>
  <c r="K81" i="38"/>
  <c r="C82" i="38"/>
  <c r="D82" i="38"/>
  <c r="I82" i="38"/>
  <c r="J82" i="38"/>
  <c r="K82" i="38"/>
  <c r="C83" i="38"/>
  <c r="D83" i="38"/>
  <c r="I83" i="38"/>
  <c r="J83" i="38"/>
  <c r="K83" i="38"/>
  <c r="C84" i="38"/>
  <c r="D84" i="38"/>
  <c r="I84" i="38"/>
  <c r="J84" i="38"/>
  <c r="K84" i="38"/>
  <c r="C85" i="38"/>
  <c r="D85" i="38"/>
  <c r="I85" i="38"/>
  <c r="J85" i="38"/>
  <c r="K85" i="38"/>
  <c r="C87" i="38"/>
  <c r="D87" i="38"/>
  <c r="I87" i="38"/>
  <c r="J87" i="38"/>
  <c r="K87" i="38"/>
  <c r="C88" i="38"/>
  <c r="D88" i="38"/>
  <c r="I88" i="38"/>
  <c r="J88" i="38"/>
  <c r="K88" i="38"/>
  <c r="C89" i="38"/>
  <c r="D89" i="38"/>
  <c r="I89" i="38"/>
  <c r="J89" i="38"/>
  <c r="K89" i="38"/>
  <c r="C90" i="38"/>
  <c r="D90" i="38"/>
  <c r="I90" i="38"/>
  <c r="J90" i="38"/>
  <c r="K90" i="38"/>
  <c r="C91" i="38"/>
  <c r="D91" i="38"/>
  <c r="I91" i="38"/>
  <c r="J91" i="38"/>
  <c r="K91" i="38"/>
  <c r="C92" i="38"/>
  <c r="D92" i="38"/>
  <c r="I92" i="38"/>
  <c r="J92" i="38"/>
  <c r="K92" i="38"/>
  <c r="C93" i="38"/>
  <c r="D93" i="38"/>
  <c r="I93" i="38"/>
  <c r="J93" i="38"/>
  <c r="K93" i="38"/>
  <c r="C94" i="38"/>
  <c r="D94" i="38"/>
  <c r="I94" i="38"/>
  <c r="J94" i="38"/>
  <c r="K94" i="38"/>
  <c r="C95" i="38"/>
  <c r="D95" i="38"/>
  <c r="I95" i="38"/>
  <c r="J95" i="38"/>
  <c r="K95" i="38"/>
  <c r="C96" i="38"/>
  <c r="D96" i="38"/>
  <c r="I96" i="38"/>
  <c r="J96" i="38"/>
  <c r="K96" i="38"/>
  <c r="C97" i="38"/>
  <c r="D97" i="38"/>
  <c r="I97" i="38"/>
  <c r="J97" i="38"/>
  <c r="K97" i="38"/>
  <c r="C98" i="38"/>
  <c r="D98" i="38"/>
  <c r="I98" i="38"/>
  <c r="J98" i="38"/>
  <c r="K98" i="38"/>
  <c r="C99" i="38"/>
  <c r="D99" i="38"/>
  <c r="I99" i="38"/>
  <c r="J99" i="38"/>
  <c r="K99" i="38"/>
  <c r="C100" i="38"/>
  <c r="D100" i="38"/>
  <c r="I100" i="38"/>
  <c r="J100" i="38"/>
  <c r="K100" i="38"/>
  <c r="C101" i="38"/>
  <c r="D101" i="38"/>
  <c r="I101" i="38"/>
  <c r="J101" i="38"/>
  <c r="K101" i="38"/>
  <c r="C102" i="38"/>
  <c r="D102" i="38"/>
  <c r="I102" i="38"/>
  <c r="J102" i="38"/>
  <c r="K102" i="38"/>
  <c r="C106" i="38"/>
  <c r="D106" i="38"/>
  <c r="I106" i="38"/>
  <c r="J106" i="38"/>
  <c r="K106" i="38"/>
  <c r="C107" i="38"/>
  <c r="D107" i="38"/>
  <c r="I107" i="38"/>
  <c r="J107" i="38"/>
  <c r="K107" i="38"/>
  <c r="C108" i="38"/>
  <c r="D108" i="38"/>
  <c r="I108" i="38"/>
  <c r="J108" i="38"/>
  <c r="K108" i="38"/>
  <c r="C109" i="38"/>
  <c r="D109" i="38"/>
  <c r="I109" i="38"/>
  <c r="J109" i="38"/>
  <c r="K109" i="38"/>
  <c r="S57" i="38"/>
  <c r="R57" i="38"/>
  <c r="Q57" i="38"/>
  <c r="C28" i="38"/>
  <c r="D28" i="38"/>
  <c r="I28" i="38"/>
  <c r="J28" i="38"/>
  <c r="K28" i="38"/>
  <c r="C29" i="38"/>
  <c r="D29" i="38"/>
  <c r="I29" i="38"/>
  <c r="J29" i="38"/>
  <c r="K29" i="38"/>
  <c r="C30" i="38"/>
  <c r="D30" i="38"/>
  <c r="I30" i="38"/>
  <c r="J30" i="38"/>
  <c r="K30" i="38"/>
  <c r="C31" i="38"/>
  <c r="D31" i="38"/>
  <c r="I31" i="38"/>
  <c r="J31" i="38"/>
  <c r="K31" i="38"/>
  <c r="C32" i="38"/>
  <c r="C57" i="38" s="1"/>
  <c r="D32" i="38"/>
  <c r="D57" i="38" s="1"/>
  <c r="I32" i="38"/>
  <c r="I57" i="38" s="1"/>
  <c r="J32" i="38"/>
  <c r="J57" i="38" s="1"/>
  <c r="K32" i="38"/>
  <c r="K57" i="38" s="1"/>
  <c r="C33" i="38"/>
  <c r="D33" i="38"/>
  <c r="I33" i="38"/>
  <c r="J33" i="38"/>
  <c r="K33" i="38"/>
  <c r="C34" i="38"/>
  <c r="D34" i="38"/>
  <c r="I34" i="38"/>
  <c r="J34" i="38"/>
  <c r="K34" i="38"/>
  <c r="C35" i="38"/>
  <c r="D35" i="38"/>
  <c r="I35" i="38"/>
  <c r="J35" i="38"/>
  <c r="K35" i="38"/>
  <c r="C36" i="38"/>
  <c r="D36" i="38"/>
  <c r="I36" i="38"/>
  <c r="J36" i="38"/>
  <c r="K36" i="38"/>
  <c r="C37" i="38"/>
  <c r="D37" i="38"/>
  <c r="I37" i="38"/>
  <c r="J37" i="38"/>
  <c r="K37" i="38"/>
  <c r="C38" i="38"/>
  <c r="D38" i="38"/>
  <c r="I38" i="38"/>
  <c r="J38" i="38"/>
  <c r="K38" i="38"/>
  <c r="C39" i="38"/>
  <c r="D39" i="38"/>
  <c r="I39" i="38"/>
  <c r="J39" i="38"/>
  <c r="K39" i="38"/>
  <c r="C40" i="38"/>
  <c r="D40" i="38"/>
  <c r="I40" i="38"/>
  <c r="J40" i="38"/>
  <c r="K40" i="38"/>
  <c r="C41" i="38"/>
  <c r="D41" i="38"/>
  <c r="I41" i="38"/>
  <c r="J41" i="38"/>
  <c r="K41" i="38"/>
  <c r="C42" i="38"/>
  <c r="D42" i="38"/>
  <c r="I42" i="38"/>
  <c r="J42" i="38"/>
  <c r="K42" i="38"/>
  <c r="C43" i="38"/>
  <c r="D43" i="38"/>
  <c r="I43" i="38"/>
  <c r="J43" i="38"/>
  <c r="K43" i="38"/>
  <c r="C44" i="38"/>
  <c r="D44" i="38"/>
  <c r="I44" i="38"/>
  <c r="J44" i="38"/>
  <c r="K44" i="38"/>
  <c r="C45" i="38"/>
  <c r="D45" i="38"/>
  <c r="I45" i="38"/>
  <c r="J45" i="38"/>
  <c r="K45" i="38"/>
  <c r="C46" i="38"/>
  <c r="D46" i="38"/>
  <c r="I46" i="38"/>
  <c r="J46" i="38"/>
  <c r="K46" i="38"/>
  <c r="C47" i="38"/>
  <c r="D47" i="38"/>
  <c r="I47" i="38"/>
  <c r="J47" i="38"/>
  <c r="K47" i="38"/>
  <c r="C48" i="38"/>
  <c r="D48" i="38"/>
  <c r="I48" i="38"/>
  <c r="J48" i="38"/>
  <c r="K48" i="38"/>
  <c r="S127" i="39"/>
  <c r="R127" i="39"/>
  <c r="Q127" i="39"/>
  <c r="C17" i="39"/>
  <c r="D17" i="39"/>
  <c r="I17" i="39"/>
  <c r="J17" i="39"/>
  <c r="K17" i="39"/>
  <c r="C19" i="39"/>
  <c r="I19" i="39"/>
  <c r="J19" i="39"/>
  <c r="K19" i="39"/>
  <c r="C20" i="39"/>
  <c r="I20" i="39"/>
  <c r="J20" i="39"/>
  <c r="K20" i="39"/>
  <c r="C21" i="39"/>
  <c r="I21" i="39"/>
  <c r="J21" i="39"/>
  <c r="K21" i="39"/>
  <c r="C22" i="39"/>
  <c r="I22" i="39"/>
  <c r="J22" i="39"/>
  <c r="K22" i="39"/>
  <c r="C23" i="39"/>
  <c r="I23" i="39"/>
  <c r="J23" i="39"/>
  <c r="K23" i="39"/>
  <c r="C24" i="39"/>
  <c r="I24" i="39"/>
  <c r="J24" i="39"/>
  <c r="K24" i="39"/>
  <c r="C25" i="39"/>
  <c r="I25" i="39"/>
  <c r="J25" i="39"/>
  <c r="K25" i="39"/>
  <c r="C26" i="39"/>
  <c r="I26" i="39"/>
  <c r="J26" i="39"/>
  <c r="K26" i="39"/>
  <c r="C27" i="39"/>
  <c r="D27" i="39"/>
  <c r="I27" i="39"/>
  <c r="J27" i="39"/>
  <c r="K27" i="39"/>
  <c r="C28" i="39"/>
  <c r="D28" i="39"/>
  <c r="I28" i="39"/>
  <c r="J28" i="39"/>
  <c r="K28" i="39"/>
  <c r="C29" i="39"/>
  <c r="D29" i="39"/>
  <c r="I29" i="39"/>
  <c r="J29" i="39"/>
  <c r="K29" i="39"/>
  <c r="C30" i="39"/>
  <c r="D30" i="39"/>
  <c r="I30" i="39"/>
  <c r="J30" i="39"/>
  <c r="K30" i="39"/>
  <c r="C31" i="39"/>
  <c r="D31" i="39"/>
  <c r="I31" i="39"/>
  <c r="J31" i="39"/>
  <c r="K31" i="39"/>
  <c r="C32" i="39"/>
  <c r="D32" i="39"/>
  <c r="I32" i="39"/>
  <c r="J32" i="39"/>
  <c r="K32" i="39"/>
  <c r="C33" i="39"/>
  <c r="D33" i="39"/>
  <c r="I33" i="39"/>
  <c r="J33" i="39"/>
  <c r="K33" i="39"/>
  <c r="C34" i="39"/>
  <c r="D34" i="39"/>
  <c r="I34" i="39"/>
  <c r="J34" i="39"/>
  <c r="K34" i="39"/>
  <c r="C35" i="39"/>
  <c r="D35" i="39"/>
  <c r="I35" i="39"/>
  <c r="J35" i="39"/>
  <c r="K35" i="39"/>
  <c r="C36" i="39"/>
  <c r="D36" i="39"/>
  <c r="I36" i="39"/>
  <c r="J36" i="39"/>
  <c r="K36" i="39"/>
  <c r="C37" i="39"/>
  <c r="D37" i="39"/>
  <c r="I37" i="39"/>
  <c r="J37" i="39"/>
  <c r="K37" i="39"/>
  <c r="C38" i="39"/>
  <c r="D38" i="39"/>
  <c r="I38" i="39"/>
  <c r="J38" i="39"/>
  <c r="K38" i="39"/>
  <c r="C39" i="39"/>
  <c r="D39" i="39"/>
  <c r="I39" i="39"/>
  <c r="J39" i="39"/>
  <c r="K39" i="39"/>
  <c r="C40" i="39"/>
  <c r="D40" i="39"/>
  <c r="I40" i="39"/>
  <c r="J40" i="39"/>
  <c r="K40" i="39"/>
  <c r="C41" i="39"/>
  <c r="D41" i="39"/>
  <c r="I41" i="39"/>
  <c r="J41" i="39"/>
  <c r="K41" i="39"/>
  <c r="C42" i="39"/>
  <c r="D42" i="39"/>
  <c r="I42" i="39"/>
  <c r="J42" i="39"/>
  <c r="K42" i="39"/>
  <c r="C43" i="39"/>
  <c r="D43" i="39"/>
  <c r="I43" i="39"/>
  <c r="J43" i="39"/>
  <c r="K43" i="39"/>
  <c r="C44" i="39"/>
  <c r="D44" i="39"/>
  <c r="I44" i="39"/>
  <c r="J44" i="39"/>
  <c r="K44" i="39"/>
  <c r="C45" i="39"/>
  <c r="D45" i="39"/>
  <c r="I45" i="39"/>
  <c r="J45" i="39"/>
  <c r="K45" i="39"/>
  <c r="C46" i="39"/>
  <c r="D46" i="39"/>
  <c r="I46" i="39"/>
  <c r="J46" i="39"/>
  <c r="K46" i="39"/>
  <c r="C47" i="39"/>
  <c r="D47" i="39"/>
  <c r="I47" i="39"/>
  <c r="J47" i="39"/>
  <c r="K47" i="39"/>
  <c r="C48" i="39"/>
  <c r="D48" i="39"/>
  <c r="I48" i="39"/>
  <c r="J48" i="39"/>
  <c r="K48" i="39"/>
  <c r="C49" i="39"/>
  <c r="D49" i="39"/>
  <c r="I49" i="39"/>
  <c r="J49" i="39"/>
  <c r="K49" i="39"/>
  <c r="C50" i="39"/>
  <c r="D50" i="39"/>
  <c r="I50" i="39"/>
  <c r="J50" i="39"/>
  <c r="K50" i="39"/>
  <c r="C51" i="39"/>
  <c r="D51" i="39"/>
  <c r="I51" i="39"/>
  <c r="J51" i="39"/>
  <c r="K51" i="39"/>
  <c r="C52" i="39"/>
  <c r="D52" i="39"/>
  <c r="I52" i="39"/>
  <c r="J52" i="39"/>
  <c r="K52" i="39"/>
  <c r="C53" i="39"/>
  <c r="D53" i="39"/>
  <c r="I53" i="39"/>
  <c r="J53" i="39"/>
  <c r="K53" i="39"/>
  <c r="C54" i="39"/>
  <c r="D54" i="39"/>
  <c r="I54" i="39"/>
  <c r="J54" i="39"/>
  <c r="K54" i="39"/>
  <c r="C55" i="39"/>
  <c r="D55" i="39"/>
  <c r="I55" i="39"/>
  <c r="J55" i="39"/>
  <c r="K55" i="39"/>
  <c r="C56" i="39"/>
  <c r="D56" i="39"/>
  <c r="I56" i="39"/>
  <c r="J56" i="39"/>
  <c r="K56" i="39"/>
  <c r="C57" i="39"/>
  <c r="D57" i="39"/>
  <c r="I57" i="39"/>
  <c r="J57" i="39"/>
  <c r="K57" i="39"/>
  <c r="C58" i="39"/>
  <c r="D58" i="39"/>
  <c r="I58" i="39"/>
  <c r="J58" i="39"/>
  <c r="K58" i="39"/>
  <c r="C59" i="39"/>
  <c r="D59" i="39"/>
  <c r="I59" i="39"/>
  <c r="J59" i="39"/>
  <c r="K59" i="39"/>
  <c r="C60" i="39"/>
  <c r="D60" i="39"/>
  <c r="I60" i="39"/>
  <c r="J60" i="39"/>
  <c r="K60" i="39"/>
  <c r="C61" i="39"/>
  <c r="D61" i="39"/>
  <c r="I61" i="39"/>
  <c r="J61" i="39"/>
  <c r="K61" i="39"/>
  <c r="C62" i="39"/>
  <c r="D62" i="39"/>
  <c r="I62" i="39"/>
  <c r="J62" i="39"/>
  <c r="K62" i="39"/>
  <c r="C63" i="39"/>
  <c r="D63" i="39"/>
  <c r="I63" i="39"/>
  <c r="J63" i="39"/>
  <c r="K63" i="39"/>
  <c r="C64" i="39"/>
  <c r="D64" i="39"/>
  <c r="I64" i="39"/>
  <c r="J64" i="39"/>
  <c r="K64" i="39"/>
  <c r="C65" i="39"/>
  <c r="D65" i="39"/>
  <c r="I65" i="39"/>
  <c r="J65" i="39"/>
  <c r="K65" i="39"/>
  <c r="C66" i="39"/>
  <c r="D66" i="39"/>
  <c r="I66" i="39"/>
  <c r="J66" i="39"/>
  <c r="K66" i="39"/>
  <c r="C67" i="39"/>
  <c r="D67" i="39"/>
  <c r="I67" i="39"/>
  <c r="J67" i="39"/>
  <c r="K67" i="39"/>
  <c r="C68" i="39"/>
  <c r="D68" i="39"/>
  <c r="I68" i="39"/>
  <c r="J68" i="39"/>
  <c r="K68" i="39"/>
  <c r="C69" i="39"/>
  <c r="D69" i="39"/>
  <c r="I69" i="39"/>
  <c r="J69" i="39"/>
  <c r="K69" i="39"/>
  <c r="C70" i="39"/>
  <c r="D70" i="39"/>
  <c r="I70" i="39"/>
  <c r="J70" i="39"/>
  <c r="K70" i="39"/>
  <c r="C71" i="39"/>
  <c r="D71" i="39"/>
  <c r="I71" i="39"/>
  <c r="J71" i="39"/>
  <c r="K71" i="39"/>
  <c r="C72" i="39"/>
  <c r="D72" i="39"/>
  <c r="I72" i="39"/>
  <c r="J72" i="39"/>
  <c r="K72" i="39"/>
  <c r="C73" i="39"/>
  <c r="D73" i="39"/>
  <c r="I73" i="39"/>
  <c r="J73" i="39"/>
  <c r="K73" i="39"/>
  <c r="C74" i="39"/>
  <c r="D74" i="39"/>
  <c r="I74" i="39"/>
  <c r="J74" i="39"/>
  <c r="K74" i="39"/>
  <c r="C75" i="39"/>
  <c r="D75" i="39"/>
  <c r="I75" i="39"/>
  <c r="J75" i="39"/>
  <c r="K75" i="39"/>
  <c r="C76" i="39"/>
  <c r="D76" i="39"/>
  <c r="I76" i="39"/>
  <c r="J76" i="39"/>
  <c r="K76" i="39"/>
  <c r="C77" i="39"/>
  <c r="D77" i="39"/>
  <c r="I77" i="39"/>
  <c r="J77" i="39"/>
  <c r="K77" i="39"/>
  <c r="C78" i="39"/>
  <c r="D78" i="39"/>
  <c r="I78" i="39"/>
  <c r="J78" i="39"/>
  <c r="K78" i="39"/>
  <c r="C79" i="39"/>
  <c r="D79" i="39"/>
  <c r="I79" i="39"/>
  <c r="J79" i="39"/>
  <c r="K79" i="39"/>
  <c r="C80" i="39"/>
  <c r="D80" i="39"/>
  <c r="I80" i="39"/>
  <c r="J80" i="39"/>
  <c r="K80" i="39"/>
  <c r="C81" i="39"/>
  <c r="D81" i="39"/>
  <c r="I81" i="39"/>
  <c r="J81" i="39"/>
  <c r="K81" i="39"/>
  <c r="C82" i="39"/>
  <c r="D82" i="39"/>
  <c r="I82" i="39"/>
  <c r="J82" i="39"/>
  <c r="K82" i="39"/>
  <c r="C83" i="39"/>
  <c r="D83" i="39"/>
  <c r="I83" i="39"/>
  <c r="J83" i="39"/>
  <c r="K83" i="39"/>
  <c r="C84" i="39"/>
  <c r="D84" i="39"/>
  <c r="I84" i="39"/>
  <c r="J84" i="39"/>
  <c r="K84" i="39"/>
  <c r="C85" i="39"/>
  <c r="D85" i="39"/>
  <c r="I85" i="39"/>
  <c r="J85" i="39"/>
  <c r="K85" i="39"/>
  <c r="C86" i="39"/>
  <c r="D86" i="39"/>
  <c r="I86" i="39"/>
  <c r="J86" i="39"/>
  <c r="K86" i="39"/>
  <c r="C87" i="39"/>
  <c r="D87" i="39"/>
  <c r="I87" i="39"/>
  <c r="J87" i="39"/>
  <c r="K87" i="39"/>
  <c r="C88" i="39"/>
  <c r="D88" i="39"/>
  <c r="I88" i="39"/>
  <c r="J88" i="39"/>
  <c r="K88" i="39"/>
  <c r="C89" i="39"/>
  <c r="D89" i="39"/>
  <c r="I89" i="39"/>
  <c r="J89" i="39"/>
  <c r="K89" i="39"/>
  <c r="C90" i="39"/>
  <c r="D90" i="39"/>
  <c r="I90" i="39"/>
  <c r="J90" i="39"/>
  <c r="K90" i="39"/>
  <c r="C91" i="39"/>
  <c r="D91" i="39"/>
  <c r="I91" i="39"/>
  <c r="J91" i="39"/>
  <c r="K91" i="39"/>
  <c r="C92" i="39"/>
  <c r="D92" i="39"/>
  <c r="I92" i="39"/>
  <c r="J92" i="39"/>
  <c r="K92" i="39"/>
  <c r="C93" i="39"/>
  <c r="D93" i="39"/>
  <c r="I93" i="39"/>
  <c r="J93" i="39"/>
  <c r="K93" i="39"/>
  <c r="C94" i="39"/>
  <c r="D94" i="39"/>
  <c r="I94" i="39"/>
  <c r="J94" i="39"/>
  <c r="K94" i="39"/>
  <c r="C95" i="39"/>
  <c r="D95" i="39"/>
  <c r="I95" i="39"/>
  <c r="J95" i="39"/>
  <c r="K95" i="39"/>
  <c r="C96" i="39"/>
  <c r="D96" i="39"/>
  <c r="I96" i="39"/>
  <c r="J96" i="39"/>
  <c r="K96" i="39"/>
  <c r="C97" i="39"/>
  <c r="D97" i="39"/>
  <c r="I97" i="39"/>
  <c r="J97" i="39"/>
  <c r="K97" i="39"/>
  <c r="C98" i="39"/>
  <c r="D98" i="39"/>
  <c r="I98" i="39"/>
  <c r="J98" i="39"/>
  <c r="K98" i="39"/>
  <c r="C99" i="39"/>
  <c r="D99" i="39"/>
  <c r="I99" i="39"/>
  <c r="J99" i="39"/>
  <c r="K99" i="39"/>
  <c r="C103" i="39"/>
  <c r="D103" i="39"/>
  <c r="I103" i="39"/>
  <c r="J103" i="39"/>
  <c r="K103" i="39"/>
  <c r="C104" i="39"/>
  <c r="D104" i="39"/>
  <c r="I104" i="39"/>
  <c r="J104" i="39"/>
  <c r="K104" i="39"/>
  <c r="C105" i="39"/>
  <c r="D105" i="39"/>
  <c r="I105" i="39"/>
  <c r="J105" i="39"/>
  <c r="K105" i="39"/>
  <c r="C106" i="39"/>
  <c r="D106" i="39"/>
  <c r="I106" i="39"/>
  <c r="J106" i="39"/>
  <c r="K106" i="39"/>
  <c r="C107" i="39"/>
  <c r="D107" i="39"/>
  <c r="I107" i="39"/>
  <c r="J107" i="39"/>
  <c r="K107" i="39"/>
  <c r="C108" i="39"/>
  <c r="D108" i="39"/>
  <c r="I108" i="39"/>
  <c r="J108" i="39"/>
  <c r="K108" i="39"/>
  <c r="C109" i="39"/>
  <c r="D109" i="39"/>
  <c r="I109" i="39"/>
  <c r="J109" i="39"/>
  <c r="K109" i="39"/>
  <c r="C110" i="39"/>
  <c r="D110" i="39"/>
  <c r="I110" i="39"/>
  <c r="J110" i="39"/>
  <c r="K110" i="39"/>
  <c r="C111" i="39"/>
  <c r="D111" i="39"/>
  <c r="I111" i="39"/>
  <c r="J111" i="39"/>
  <c r="K111" i="39"/>
  <c r="K127" i="39" l="1"/>
  <c r="C127" i="39"/>
  <c r="J127" i="39"/>
  <c r="I127" i="39"/>
  <c r="G71" i="38"/>
  <c r="G93" i="38"/>
  <c r="G76" i="38"/>
  <c r="G94" i="38"/>
  <c r="G97" i="38"/>
  <c r="G89" i="38"/>
  <c r="G72" i="38"/>
  <c r="G109" i="38"/>
  <c r="G95" i="38"/>
  <c r="G81" i="38"/>
  <c r="G67" i="38"/>
  <c r="G100" i="38"/>
  <c r="G83" i="38"/>
  <c r="G92" i="38"/>
  <c r="G96" i="38"/>
  <c r="G88" i="38"/>
  <c r="G66" i="38"/>
  <c r="G90" i="38"/>
  <c r="G75" i="38"/>
  <c r="G108" i="38"/>
  <c r="G84" i="38"/>
  <c r="G70" i="38"/>
  <c r="G65" i="38"/>
  <c r="G91" i="38"/>
  <c r="G79" i="38"/>
  <c r="G101" i="38"/>
  <c r="G98" i="38"/>
  <c r="G77" i="38"/>
  <c r="G63" i="38"/>
  <c r="G107" i="38"/>
  <c r="G61" i="38"/>
  <c r="G68" i="38"/>
  <c r="G62" i="38"/>
  <c r="G99" i="38"/>
  <c r="G82" i="38"/>
  <c r="G106" i="38"/>
  <c r="G87" i="38"/>
  <c r="G80" i="38"/>
  <c r="G74" i="38"/>
  <c r="G69" i="38"/>
  <c r="G78" i="38"/>
  <c r="G102" i="38"/>
  <c r="G85" i="38"/>
  <c r="G73" i="38"/>
  <c r="G64" i="38"/>
  <c r="G32" i="38"/>
  <c r="G57" i="38" s="1"/>
  <c r="G36" i="38"/>
  <c r="G28" i="38"/>
  <c r="G47" i="38"/>
  <c r="G40" i="38"/>
  <c r="G34" i="38"/>
  <c r="D127" i="39"/>
  <c r="G38" i="38"/>
  <c r="G30" i="38"/>
  <c r="G44" i="38"/>
  <c r="G33" i="38"/>
  <c r="G42" i="38"/>
  <c r="G48" i="38"/>
  <c r="G39" i="38"/>
  <c r="G31" i="38"/>
  <c r="G46" i="38"/>
  <c r="G35" i="38"/>
  <c r="G41" i="38"/>
  <c r="G45" i="38"/>
  <c r="G29" i="38"/>
  <c r="G43" i="38"/>
  <c r="G37" i="38"/>
  <c r="G89" i="39"/>
  <c r="G81" i="39"/>
  <c r="G73" i="39"/>
  <c r="G27" i="39"/>
  <c r="G19" i="39"/>
  <c r="G86" i="39"/>
  <c r="G78" i="39"/>
  <c r="G70" i="39"/>
  <c r="G64" i="39"/>
  <c r="G56" i="39"/>
  <c r="G97" i="39"/>
  <c r="G68" i="39"/>
  <c r="G47" i="39"/>
  <c r="G93" i="39"/>
  <c r="G69" i="39"/>
  <c r="G96" i="39"/>
  <c r="G61" i="39"/>
  <c r="G53" i="39"/>
  <c r="G45" i="39"/>
  <c r="G37" i="39"/>
  <c r="G29" i="39"/>
  <c r="G95" i="39"/>
  <c r="G33" i="39"/>
  <c r="G111" i="39"/>
  <c r="G49" i="39"/>
  <c r="G46" i="39"/>
  <c r="G38" i="39"/>
  <c r="G63" i="39"/>
  <c r="G25" i="39"/>
  <c r="G104" i="39"/>
  <c r="G77" i="39"/>
  <c r="G91" i="39"/>
  <c r="G21" i="39"/>
  <c r="G109" i="39"/>
  <c r="G87" i="39"/>
  <c r="G79" i="39"/>
  <c r="G76" i="39"/>
  <c r="G65" i="39"/>
  <c r="G57" i="39"/>
  <c r="G54" i="39"/>
  <c r="G32" i="39"/>
  <c r="G107" i="39"/>
  <c r="G85" i="39"/>
  <c r="G74" i="39"/>
  <c r="G55" i="39"/>
  <c r="G41" i="39"/>
  <c r="G105" i="39"/>
  <c r="G80" i="39"/>
  <c r="G72" i="39"/>
  <c r="G36" i="39"/>
  <c r="G31" i="39"/>
  <c r="G108" i="39"/>
  <c r="G42" i="39"/>
  <c r="G23" i="39"/>
  <c r="G103" i="39"/>
  <c r="G62" i="39"/>
  <c r="G48" i="39"/>
  <c r="G40" i="39"/>
  <c r="G17" i="39"/>
  <c r="G106" i="39"/>
  <c r="G94" i="39"/>
  <c r="G88" i="39"/>
  <c r="G71" i="39"/>
  <c r="G39" i="39"/>
  <c r="G30" i="39"/>
  <c r="G24" i="39"/>
  <c r="G83" i="39"/>
  <c r="G51" i="39"/>
  <c r="G22" i="39"/>
  <c r="G110" i="39"/>
  <c r="G98" i="39"/>
  <c r="G92" i="39"/>
  <c r="G75" i="39"/>
  <c r="G66" i="39"/>
  <c r="G60" i="39"/>
  <c r="G43" i="39"/>
  <c r="G34" i="39"/>
  <c r="G28" i="39"/>
  <c r="G99" i="39"/>
  <c r="G90" i="39"/>
  <c r="G84" i="39"/>
  <c r="G67" i="39"/>
  <c r="G58" i="39"/>
  <c r="G52" i="39"/>
  <c r="G35" i="39"/>
  <c r="G26" i="39"/>
  <c r="G20" i="39"/>
  <c r="G82" i="39"/>
  <c r="G59" i="39"/>
  <c r="G50" i="39"/>
  <c r="G44" i="39"/>
  <c r="G127" i="39" l="1"/>
  <c r="E51" i="9" l="1"/>
  <c r="I111" i="38" l="1"/>
  <c r="J111" i="38"/>
  <c r="K111" i="38"/>
  <c r="I112" i="38"/>
  <c r="J112" i="38"/>
  <c r="K112" i="38"/>
  <c r="K61" i="6" l="1"/>
  <c r="D111" i="38"/>
  <c r="C111" i="38"/>
  <c r="G111" i="38" l="1"/>
  <c r="E61" i="6"/>
  <c r="C112" i="39" l="1"/>
  <c r="E113" i="39" s="1"/>
  <c r="C113" i="39" s="1"/>
  <c r="E40" i="9" l="1"/>
  <c r="E39" i="9"/>
  <c r="E37" i="9" l="1"/>
  <c r="E38" i="9"/>
  <c r="E36" i="9" l="1"/>
  <c r="D43" i="9"/>
  <c r="G162" i="2" s="1"/>
  <c r="E48" i="9"/>
  <c r="E47" i="9"/>
  <c r="E71" i="9"/>
  <c r="E68" i="9"/>
  <c r="E70" i="9"/>
  <c r="E67" i="9"/>
  <c r="E69" i="9"/>
  <c r="E53" i="9"/>
  <c r="E46" i="9"/>
  <c r="D92" i="6" l="1"/>
  <c r="F40" i="53" l="1"/>
  <c r="D40" i="53"/>
  <c r="L38" i="53"/>
  <c r="N38" i="53" s="1"/>
  <c r="H38" i="53"/>
  <c r="L35" i="53"/>
  <c r="N35" i="53" s="1"/>
  <c r="H35" i="53"/>
  <c r="J33" i="53"/>
  <c r="J40" i="53" s="1"/>
  <c r="H33" i="53"/>
  <c r="F28" i="53"/>
  <c r="D26" i="53"/>
  <c r="L22" i="53"/>
  <c r="N22" i="53" s="1"/>
  <c r="H22" i="53"/>
  <c r="J18" i="53"/>
  <c r="J26" i="53" s="1"/>
  <c r="J28" i="53" s="1"/>
  <c r="D18" i="53"/>
  <c r="H18" i="53" s="1"/>
  <c r="A16" i="53"/>
  <c r="A17" i="53" s="1"/>
  <c r="A18" i="53" s="1"/>
  <c r="A20" i="53" s="1"/>
  <c r="A22" i="53" s="1"/>
  <c r="A24" i="53" s="1"/>
  <c r="A25" i="53" s="1"/>
  <c r="A26" i="53" s="1"/>
  <c r="A28" i="53" s="1"/>
  <c r="A33" i="53" s="1"/>
  <c r="A35" i="53" s="1"/>
  <c r="A38" i="53" s="1"/>
  <c r="A40" i="53" s="1"/>
  <c r="L18" i="53" l="1"/>
  <c r="N18" i="53" s="1"/>
  <c r="L33" i="53"/>
  <c r="L40" i="53" s="1"/>
  <c r="D28" i="53"/>
  <c r="L26" i="53"/>
  <c r="H26" i="53"/>
  <c r="L28" i="53" l="1"/>
  <c r="N33" i="53"/>
  <c r="N40" i="53" s="1"/>
  <c r="N26" i="53"/>
  <c r="N28" i="53" s="1"/>
  <c r="I115" i="38" l="1"/>
  <c r="J115" i="38"/>
  <c r="K115" i="38"/>
  <c r="I116" i="38"/>
  <c r="J116" i="38"/>
  <c r="K116" i="38"/>
  <c r="I117" i="38"/>
  <c r="J117" i="38"/>
  <c r="K117" i="38"/>
  <c r="D116" i="38"/>
  <c r="D115" i="38"/>
  <c r="C116" i="38"/>
  <c r="C115" i="38"/>
  <c r="D52" i="38"/>
  <c r="C52" i="38"/>
  <c r="D50" i="38"/>
  <c r="C50" i="38"/>
  <c r="D119" i="39"/>
  <c r="D118" i="39"/>
  <c r="C119" i="39"/>
  <c r="C118" i="39"/>
  <c r="G115" i="38" l="1"/>
  <c r="G52" i="38"/>
  <c r="G116" i="38"/>
  <c r="G119" i="39"/>
  <c r="G50" i="38"/>
  <c r="G118" i="39"/>
  <c r="I55" i="6"/>
  <c r="I41" i="6"/>
  <c r="M122" i="38"/>
  <c r="M128" i="38" s="1"/>
  <c r="O122" i="38"/>
  <c r="O128" i="38" s="1"/>
  <c r="N122" i="38"/>
  <c r="N128" i="38" s="1"/>
  <c r="O56" i="38"/>
  <c r="N56" i="38"/>
  <c r="M56" i="38"/>
  <c r="A25" i="39" l="1"/>
  <c r="A26" i="39" s="1"/>
  <c r="A27" i="39" s="1"/>
  <c r="A28" i="39" s="1"/>
  <c r="A29" i="39" s="1"/>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A74" i="39" s="1"/>
  <c r="A75" i="39" s="1"/>
  <c r="A76" i="39" s="1"/>
  <c r="A77" i="39" s="1"/>
  <c r="A78" i="39" s="1"/>
  <c r="A79" i="39" s="1"/>
  <c r="A80" i="39" s="1"/>
  <c r="A81" i="39" s="1"/>
  <c r="A82" i="39" s="1"/>
  <c r="A83" i="39" s="1"/>
  <c r="A84" i="39" s="1"/>
  <c r="A85" i="39" s="1"/>
  <c r="A86" i="39" s="1"/>
  <c r="A87" i="39" s="1"/>
  <c r="A88" i="39" s="1"/>
  <c r="A89" i="39" s="1"/>
  <c r="A90" i="39" s="1"/>
  <c r="A91" i="39" s="1"/>
  <c r="A92" i="39" s="1"/>
  <c r="A93" i="39" s="1"/>
  <c r="A94" i="39" s="1"/>
  <c r="A95" i="39" s="1"/>
  <c r="A96" i="39" s="1"/>
  <c r="A97" i="39" s="1"/>
  <c r="A98" i="39" s="1"/>
  <c r="O60" i="51"/>
  <c r="A99" i="39" l="1"/>
  <c r="A100" i="39" s="1"/>
  <c r="A101" i="39" s="1"/>
  <c r="L46" i="2"/>
  <c r="L45" i="2"/>
  <c r="A102" i="39" l="1"/>
  <c r="A103" i="39" s="1"/>
  <c r="A104" i="39" s="1"/>
  <c r="A105" i="39" s="1"/>
  <c r="A106" i="39" s="1"/>
  <c r="A107" i="39" s="1"/>
  <c r="A108" i="39" s="1"/>
  <c r="A109" i="39" s="1"/>
  <c r="A110" i="39" s="1"/>
  <c r="A111" i="39" s="1"/>
  <c r="A112" i="39" s="1"/>
  <c r="A113" i="39" s="1"/>
  <c r="A114" i="39" s="1"/>
  <c r="A115" i="39" s="1"/>
  <c r="A116" i="39" s="1"/>
  <c r="A117" i="39" s="1"/>
  <c r="A118" i="39" s="1"/>
  <c r="A119" i="39" s="1"/>
  <c r="A120" i="39" s="1"/>
  <c r="A121" i="39" s="1"/>
  <c r="A122" i="39" s="1"/>
  <c r="A123" i="39" s="1"/>
  <c r="A124" i="39" s="1"/>
  <c r="F86" i="35"/>
  <c r="I39" i="52" l="1"/>
  <c r="E39" i="52"/>
  <c r="I38" i="52"/>
  <c r="E38" i="52"/>
  <c r="I37" i="52"/>
  <c r="E37" i="52"/>
  <c r="I36" i="52"/>
  <c r="E36" i="52"/>
  <c r="I35" i="52"/>
  <c r="E35" i="52"/>
  <c r="I34" i="52"/>
  <c r="E34" i="52"/>
  <c r="I33" i="52"/>
  <c r="E33" i="52"/>
  <c r="I32" i="52"/>
  <c r="E32" i="52"/>
  <c r="I31" i="52"/>
  <c r="E31" i="52"/>
  <c r="I27" i="52"/>
  <c r="E27" i="52"/>
  <c r="I26" i="52"/>
  <c r="E26" i="52"/>
  <c r="I25" i="52"/>
  <c r="E25" i="52"/>
  <c r="I24" i="52"/>
  <c r="E24" i="52"/>
  <c r="I23" i="52"/>
  <c r="E23" i="52"/>
  <c r="I22" i="52"/>
  <c r="E22" i="52"/>
  <c r="I21" i="52"/>
  <c r="E21" i="52"/>
  <c r="I20" i="52"/>
  <c r="E20" i="52"/>
  <c r="I19" i="52"/>
  <c r="E19" i="52"/>
  <c r="K19" i="52" l="1"/>
  <c r="K23" i="52"/>
  <c r="K34" i="52"/>
  <c r="K38" i="52"/>
  <c r="K24" i="52"/>
  <c r="K39" i="52"/>
  <c r="K32" i="52"/>
  <c r="K36" i="52"/>
  <c r="K33" i="52"/>
  <c r="K20" i="52"/>
  <c r="K27" i="52"/>
  <c r="K37" i="52"/>
  <c r="K21" i="52"/>
  <c r="K26" i="52"/>
  <c r="K31" i="52"/>
  <c r="K22" i="52"/>
  <c r="K25" i="52"/>
  <c r="K35" i="52"/>
  <c r="G44" i="48"/>
  <c r="O35" i="51" l="1"/>
  <c r="N60" i="51" l="1"/>
  <c r="N35" i="51"/>
  <c r="Q45" i="51" l="1"/>
  <c r="Q42" i="51"/>
  <c r="Q41" i="51"/>
  <c r="Q20" i="51"/>
  <c r="Q17" i="51"/>
  <c r="Q16" i="51"/>
  <c r="Q14" i="51"/>
  <c r="P56" i="51"/>
  <c r="P55" i="51"/>
  <c r="P31" i="51"/>
  <c r="P30" i="51"/>
  <c r="P46" i="51"/>
  <c r="P44" i="51"/>
  <c r="P43" i="51"/>
  <c r="P40" i="51"/>
  <c r="P21" i="51"/>
  <c r="P19" i="51"/>
  <c r="P18" i="51"/>
  <c r="P15" i="51"/>
  <c r="P13" i="51"/>
  <c r="M60" i="51"/>
  <c r="L60" i="51"/>
  <c r="K60" i="51"/>
  <c r="J60" i="51"/>
  <c r="I60" i="51"/>
  <c r="M35" i="51"/>
  <c r="L35" i="51"/>
  <c r="K35" i="51"/>
  <c r="J35" i="51"/>
  <c r="I35" i="51"/>
  <c r="Q60" i="51" l="1"/>
  <c r="Q35" i="51"/>
  <c r="P60" i="51"/>
  <c r="P35" i="51"/>
  <c r="B39" i="50" l="1"/>
  <c r="B40" i="50" s="1"/>
  <c r="B41" i="50" s="1"/>
  <c r="B42" i="50" s="1"/>
  <c r="B43" i="50" s="1"/>
  <c r="B44" i="50" s="1"/>
  <c r="B45" i="50" s="1"/>
  <c r="B46" i="50" s="1"/>
  <c r="B47" i="50" s="1"/>
  <c r="B48" i="50" s="1"/>
  <c r="B49" i="50" s="1"/>
  <c r="B50" i="50" s="1"/>
  <c r="B36" i="50"/>
  <c r="B21" i="50"/>
  <c r="B22" i="50" s="1"/>
  <c r="B23" i="50" s="1"/>
  <c r="B24" i="50" s="1"/>
  <c r="B25" i="50" s="1"/>
  <c r="B26" i="50" s="1"/>
  <c r="B27" i="50" s="1"/>
  <c r="B28" i="50" s="1"/>
  <c r="B29" i="50" s="1"/>
  <c r="B30" i="50" s="1"/>
  <c r="B31" i="50" s="1"/>
  <c r="B32" i="50" s="1"/>
  <c r="A8" i="50"/>
  <c r="B39" i="49"/>
  <c r="B40" i="49" s="1"/>
  <c r="B41" i="49" s="1"/>
  <c r="B42" i="49" s="1"/>
  <c r="B43" i="49" s="1"/>
  <c r="B44" i="49" s="1"/>
  <c r="B45" i="49" s="1"/>
  <c r="B46" i="49" s="1"/>
  <c r="B47" i="49" s="1"/>
  <c r="B48" i="49" s="1"/>
  <c r="B49" i="49" s="1"/>
  <c r="B50" i="49" s="1"/>
  <c r="B36" i="49"/>
  <c r="B21" i="49"/>
  <c r="B22" i="49" s="1"/>
  <c r="B23" i="49" s="1"/>
  <c r="B24" i="49" s="1"/>
  <c r="B25" i="49" s="1"/>
  <c r="B26" i="49" s="1"/>
  <c r="B27" i="49" s="1"/>
  <c r="B28" i="49" s="1"/>
  <c r="B29" i="49" s="1"/>
  <c r="B30" i="49" s="1"/>
  <c r="B31" i="49" s="1"/>
  <c r="B32" i="49" s="1"/>
  <c r="A8" i="49"/>
  <c r="F15" i="50"/>
  <c r="F15" i="49"/>
  <c r="B39" i="47"/>
  <c r="B40" i="47" s="1"/>
  <c r="B41" i="47" s="1"/>
  <c r="B42" i="47" s="1"/>
  <c r="B43" i="47" s="1"/>
  <c r="B44" i="47" s="1"/>
  <c r="B45" i="47" s="1"/>
  <c r="B46" i="47" s="1"/>
  <c r="B47" i="47" s="1"/>
  <c r="B48" i="47" s="1"/>
  <c r="B49" i="47" s="1"/>
  <c r="B50" i="47" s="1"/>
  <c r="B36" i="47"/>
  <c r="B21" i="47"/>
  <c r="B22" i="47" s="1"/>
  <c r="B23" i="47" s="1"/>
  <c r="B24" i="47" s="1"/>
  <c r="B25" i="47" s="1"/>
  <c r="B26" i="47" s="1"/>
  <c r="B27" i="47" s="1"/>
  <c r="B28" i="47" s="1"/>
  <c r="B29" i="47" s="1"/>
  <c r="B30" i="47" s="1"/>
  <c r="B31" i="47" s="1"/>
  <c r="B32" i="47" s="1"/>
  <c r="A8" i="47"/>
  <c r="D23" i="35" l="1"/>
  <c r="H251" i="2"/>
  <c r="H253" i="2"/>
  <c r="O2059" i="13" l="1"/>
  <c r="M2059" i="13"/>
  <c r="O2058" i="13"/>
  <c r="M2058" i="13"/>
  <c r="O2057" i="13"/>
  <c r="M2057" i="13"/>
  <c r="O2056" i="13"/>
  <c r="M2056" i="13"/>
  <c r="O2055" i="13"/>
  <c r="M2055" i="13"/>
  <c r="O2054" i="13"/>
  <c r="M2054" i="13"/>
  <c r="O2053" i="13"/>
  <c r="M2053" i="13"/>
  <c r="O2052" i="13"/>
  <c r="M2052" i="13"/>
  <c r="O2051" i="13"/>
  <c r="M2051" i="13"/>
  <c r="O2050" i="13"/>
  <c r="M2050" i="13"/>
  <c r="O2049" i="13"/>
  <c r="M2049" i="13"/>
  <c r="O2048" i="13"/>
  <c r="M2048" i="13"/>
  <c r="O2047" i="13"/>
  <c r="M2047" i="13"/>
  <c r="O2046" i="13"/>
  <c r="M2046" i="13"/>
  <c r="O2045" i="13"/>
  <c r="M2045" i="13"/>
  <c r="O2044" i="13"/>
  <c r="M2044" i="13"/>
  <c r="O2043" i="13"/>
  <c r="M2043" i="13"/>
  <c r="O2042" i="13"/>
  <c r="M2042" i="13"/>
  <c r="O2041" i="13"/>
  <c r="M2041" i="13"/>
  <c r="O2040" i="13"/>
  <c r="M2040" i="13"/>
  <c r="O2039" i="13"/>
  <c r="M2039" i="13"/>
  <c r="O2038" i="13"/>
  <c r="M2038" i="13"/>
  <c r="O2037" i="13"/>
  <c r="M2037" i="13"/>
  <c r="O2036" i="13"/>
  <c r="M2036" i="13"/>
  <c r="O2035" i="13"/>
  <c r="M2035" i="13"/>
  <c r="O2034" i="13"/>
  <c r="M2034" i="13"/>
  <c r="O2033" i="13"/>
  <c r="M2033" i="13"/>
  <c r="O2032" i="13"/>
  <c r="M2032" i="13"/>
  <c r="O2031" i="13"/>
  <c r="M2031" i="13"/>
  <c r="O2030" i="13"/>
  <c r="M2030" i="13"/>
  <c r="O2029" i="13"/>
  <c r="M2029" i="13"/>
  <c r="O2028" i="13"/>
  <c r="M2028" i="13"/>
  <c r="O2027" i="13"/>
  <c r="M2027" i="13"/>
  <c r="O2026" i="13"/>
  <c r="M2026" i="13"/>
  <c r="O2025" i="13"/>
  <c r="M2025" i="13"/>
  <c r="O2024" i="13"/>
  <c r="M2024" i="13"/>
  <c r="O2023" i="13"/>
  <c r="M2023" i="13"/>
  <c r="O2022" i="13"/>
  <c r="M2022" i="13"/>
  <c r="O2021" i="13"/>
  <c r="M2021" i="13"/>
  <c r="O2020" i="13"/>
  <c r="M2020" i="13"/>
  <c r="O2019" i="13"/>
  <c r="M2019" i="13"/>
  <c r="O2018" i="13"/>
  <c r="M2018" i="13"/>
  <c r="O2017" i="13"/>
  <c r="M2017" i="13"/>
  <c r="O2016" i="13"/>
  <c r="M2016" i="13"/>
  <c r="O2015" i="13"/>
  <c r="M2015" i="13"/>
  <c r="O2014" i="13"/>
  <c r="M2014" i="13"/>
  <c r="O2013" i="13"/>
  <c r="M2013" i="13"/>
  <c r="O2012" i="13"/>
  <c r="M2012" i="13"/>
  <c r="O2011" i="13"/>
  <c r="M2011" i="13"/>
  <c r="O2010" i="13"/>
  <c r="M2010" i="13"/>
  <c r="O2009" i="13"/>
  <c r="M2009" i="13"/>
  <c r="O2008" i="13"/>
  <c r="M2008" i="13"/>
  <c r="O2007" i="13"/>
  <c r="M2007" i="13"/>
  <c r="O2003" i="13"/>
  <c r="M2003" i="13"/>
  <c r="O2002" i="13"/>
  <c r="M2002" i="13"/>
  <c r="D2000" i="13"/>
  <c r="C2000" i="13"/>
  <c r="C2001" i="13" s="1"/>
  <c r="C2002" i="13" s="1"/>
  <c r="C2003" i="13" s="1"/>
  <c r="C2004" i="13" s="1"/>
  <c r="C2005" i="13" s="1"/>
  <c r="C2006" i="13" s="1"/>
  <c r="C2007" i="13" s="1"/>
  <c r="C2008" i="13" s="1"/>
  <c r="C2009" i="13" s="1"/>
  <c r="C2010" i="13" s="1"/>
  <c r="C2011" i="13" s="1"/>
  <c r="C2012" i="13" s="1"/>
  <c r="C2013" i="13" s="1"/>
  <c r="C2014" i="13" s="1"/>
  <c r="C2015" i="13" s="1"/>
  <c r="C2016" i="13" s="1"/>
  <c r="C2017" i="13" s="1"/>
  <c r="C2018" i="13" s="1"/>
  <c r="C2019" i="13" s="1"/>
  <c r="C2020" i="13" s="1"/>
  <c r="C2021" i="13" s="1"/>
  <c r="C2022" i="13" s="1"/>
  <c r="C2023" i="13" s="1"/>
  <c r="C2024" i="13" s="1"/>
  <c r="C2025" i="13" s="1"/>
  <c r="C2026" i="13" s="1"/>
  <c r="C2027" i="13" s="1"/>
  <c r="C2028" i="13" s="1"/>
  <c r="C2029" i="13" s="1"/>
  <c r="L1995" i="13"/>
  <c r="J1993" i="13"/>
  <c r="L1987" i="13" s="1"/>
  <c r="P1981" i="13"/>
  <c r="O1981" i="13"/>
  <c r="J1906" i="13"/>
  <c r="J1820" i="13"/>
  <c r="J1734" i="13"/>
  <c r="J1648" i="13"/>
  <c r="J1562" i="13"/>
  <c r="J1476" i="13"/>
  <c r="J1390" i="13"/>
  <c r="J1304" i="13"/>
  <c r="J1218" i="13"/>
  <c r="J1132" i="13"/>
  <c r="J1046" i="13"/>
  <c r="J960" i="13"/>
  <c r="J874" i="13"/>
  <c r="J788" i="13"/>
  <c r="J700" i="13"/>
  <c r="J612" i="13"/>
  <c r="J526" i="13"/>
  <c r="J440" i="13"/>
  <c r="J354" i="13"/>
  <c r="J268" i="13"/>
  <c r="J182" i="13"/>
  <c r="P2054" i="13" l="1"/>
  <c r="P2058" i="13"/>
  <c r="P2044" i="13"/>
  <c r="P2048" i="13"/>
  <c r="P2024" i="13"/>
  <c r="P2002" i="13"/>
  <c r="P2008" i="13"/>
  <c r="P2012" i="13"/>
  <c r="P2026" i="13"/>
  <c r="P2030" i="13"/>
  <c r="P2034" i="13"/>
  <c r="P2009" i="13"/>
  <c r="P2029" i="13"/>
  <c r="P2033" i="13"/>
  <c r="P2017" i="13"/>
  <c r="P2027" i="13"/>
  <c r="P2031" i="13"/>
  <c r="P2010" i="13"/>
  <c r="P2038" i="13"/>
  <c r="P2003" i="13"/>
  <c r="P2007" i="13"/>
  <c r="P2011" i="13"/>
  <c r="P2013" i="13"/>
  <c r="P2022" i="13"/>
  <c r="P2028" i="13"/>
  <c r="P2032" i="13"/>
  <c r="P2043" i="13"/>
  <c r="P2045" i="13"/>
  <c r="P2047" i="13"/>
  <c r="P2049" i="13"/>
  <c r="P2021" i="13"/>
  <c r="P2042" i="13"/>
  <c r="P2046" i="13"/>
  <c r="P2050" i="13"/>
  <c r="P2014" i="13"/>
  <c r="P2016" i="13"/>
  <c r="P2023" i="13"/>
  <c r="P2035" i="13"/>
  <c r="P2037" i="13"/>
  <c r="P2051" i="13"/>
  <c r="P2053" i="13"/>
  <c r="P2015" i="13"/>
  <c r="P2018" i="13"/>
  <c r="P2020" i="13"/>
  <c r="P2025" i="13"/>
  <c r="P2036" i="13"/>
  <c r="P2039" i="13"/>
  <c r="P2041" i="13"/>
  <c r="P2052" i="13"/>
  <c r="P2055" i="13"/>
  <c r="P2057" i="13"/>
  <c r="P2019" i="13"/>
  <c r="P2040" i="13"/>
  <c r="P2056" i="13"/>
  <c r="P2059" i="13"/>
  <c r="C2030" i="13"/>
  <c r="C2031" i="13" s="1"/>
  <c r="C2032" i="13" s="1"/>
  <c r="C2033" i="13" s="1"/>
  <c r="C2034" i="13" s="1"/>
  <c r="C2035" i="13" s="1"/>
  <c r="C2036" i="13" s="1"/>
  <c r="C2037" i="13" s="1"/>
  <c r="C2038" i="13" s="1"/>
  <c r="C2039" i="13" s="1"/>
  <c r="C2040" i="13" s="1"/>
  <c r="C2041" i="13" s="1"/>
  <c r="C2042" i="13" s="1"/>
  <c r="C2043" i="13" s="1"/>
  <c r="C2044" i="13" s="1"/>
  <c r="C2045" i="13" s="1"/>
  <c r="C2046" i="13" s="1"/>
  <c r="C2047" i="13" s="1"/>
  <c r="C2048" i="13" s="1"/>
  <c r="C2049" i="13" s="1"/>
  <c r="C2050" i="13" s="1"/>
  <c r="C2051" i="13" s="1"/>
  <c r="C2052" i="13" s="1"/>
  <c r="C2053" i="13" s="1"/>
  <c r="C2054" i="13" s="1"/>
  <c r="C2055" i="13" s="1"/>
  <c r="C2056" i="13" s="1"/>
  <c r="C2057" i="13" s="1"/>
  <c r="C2058" i="13" s="1"/>
  <c r="C2059" i="13" s="1"/>
  <c r="N1988" i="13"/>
  <c r="M1988" i="13"/>
  <c r="O1988" i="13" l="1"/>
  <c r="F64" i="9"/>
  <c r="C115" i="39" l="1"/>
  <c r="D115" i="39"/>
  <c r="C116" i="39"/>
  <c r="D116" i="39"/>
  <c r="C120" i="39"/>
  <c r="D120" i="39"/>
  <c r="C121" i="39"/>
  <c r="D121" i="39"/>
  <c r="C122" i="39"/>
  <c r="D122" i="39"/>
  <c r="D114" i="39"/>
  <c r="C114" i="39"/>
  <c r="E34" i="5"/>
  <c r="G34" i="5"/>
  <c r="D126" i="38"/>
  <c r="C126" i="38"/>
  <c r="C112" i="38"/>
  <c r="D112" i="38"/>
  <c r="C113" i="38"/>
  <c r="D113" i="38"/>
  <c r="C117" i="38"/>
  <c r="D117" i="38"/>
  <c r="C118" i="38"/>
  <c r="D118" i="38"/>
  <c r="C119" i="38"/>
  <c r="D119" i="38"/>
  <c r="D110" i="38"/>
  <c r="C110" i="38"/>
  <c r="C53" i="38"/>
  <c r="D53" i="38"/>
  <c r="D49" i="38"/>
  <c r="C49" i="38"/>
  <c r="I31" i="30"/>
  <c r="D33" i="9"/>
  <c r="G152" i="2" s="1"/>
  <c r="L44" i="2" s="1"/>
  <c r="K55" i="6"/>
  <c r="E55" i="6" s="1"/>
  <c r="J58" i="6"/>
  <c r="K58" i="6" s="1"/>
  <c r="E58" i="6" s="1"/>
  <c r="J47" i="6"/>
  <c r="K47" i="6" s="1"/>
  <c r="E47" i="6" s="1"/>
  <c r="K41" i="6"/>
  <c r="E41" i="6" s="1"/>
  <c r="E59" i="6"/>
  <c r="O766" i="13"/>
  <c r="M766" i="13"/>
  <c r="O765" i="13"/>
  <c r="M765" i="13"/>
  <c r="O764" i="13"/>
  <c r="M764" i="13"/>
  <c r="O763" i="13"/>
  <c r="M763" i="13"/>
  <c r="O762" i="13"/>
  <c r="M762" i="13"/>
  <c r="O761" i="13"/>
  <c r="M761" i="13"/>
  <c r="O760" i="13"/>
  <c r="M760" i="13"/>
  <c r="O759" i="13"/>
  <c r="M759" i="13"/>
  <c r="O758" i="13"/>
  <c r="M758" i="13"/>
  <c r="O757" i="13"/>
  <c r="M757" i="13"/>
  <c r="O756" i="13"/>
  <c r="M756" i="13"/>
  <c r="O755" i="13"/>
  <c r="M755" i="13"/>
  <c r="O754" i="13"/>
  <c r="M754" i="13"/>
  <c r="O753" i="13"/>
  <c r="M753" i="13"/>
  <c r="O752" i="13"/>
  <c r="M752" i="13"/>
  <c r="O751" i="13"/>
  <c r="M751" i="13"/>
  <c r="O750" i="13"/>
  <c r="M750" i="13"/>
  <c r="O749" i="13"/>
  <c r="M749" i="13"/>
  <c r="O748" i="13"/>
  <c r="M748" i="13"/>
  <c r="O747" i="13"/>
  <c r="M747" i="13"/>
  <c r="O746" i="13"/>
  <c r="M746" i="13"/>
  <c r="O745" i="13"/>
  <c r="M745" i="13"/>
  <c r="O744" i="13"/>
  <c r="M744" i="13"/>
  <c r="O743" i="13"/>
  <c r="M743" i="13"/>
  <c r="O742" i="13"/>
  <c r="M742" i="13"/>
  <c r="O741" i="13"/>
  <c r="M741" i="13"/>
  <c r="O740" i="13"/>
  <c r="M740" i="13"/>
  <c r="O739" i="13"/>
  <c r="M739" i="13"/>
  <c r="O738" i="13"/>
  <c r="M738" i="13"/>
  <c r="O737" i="13"/>
  <c r="M737" i="13"/>
  <c r="O736" i="13"/>
  <c r="M736" i="13"/>
  <c r="O735" i="13"/>
  <c r="M735" i="13"/>
  <c r="O734" i="13"/>
  <c r="M734" i="13"/>
  <c r="O733" i="13"/>
  <c r="M733" i="13"/>
  <c r="O732" i="13"/>
  <c r="M732" i="13"/>
  <c r="O731" i="13"/>
  <c r="M731" i="13"/>
  <c r="O730" i="13"/>
  <c r="M730" i="13"/>
  <c r="O729" i="13"/>
  <c r="M729" i="13"/>
  <c r="O728" i="13"/>
  <c r="M728" i="13"/>
  <c r="O727" i="13"/>
  <c r="M727" i="13"/>
  <c r="O726" i="13"/>
  <c r="M726" i="13"/>
  <c r="O725" i="13"/>
  <c r="M725" i="13"/>
  <c r="O724" i="13"/>
  <c r="M724" i="13"/>
  <c r="O723" i="13"/>
  <c r="M723" i="13"/>
  <c r="O722" i="13"/>
  <c r="M722" i="13"/>
  <c r="O721" i="13"/>
  <c r="M721" i="13"/>
  <c r="O720" i="13"/>
  <c r="M720" i="13"/>
  <c r="D707" i="13"/>
  <c r="C707" i="13"/>
  <c r="C708" i="13" s="1"/>
  <c r="C709" i="13" s="1"/>
  <c r="C710" i="13" s="1"/>
  <c r="C711" i="13" s="1"/>
  <c r="C712" i="13" s="1"/>
  <c r="C713" i="13" s="1"/>
  <c r="C714" i="13" s="1"/>
  <c r="C715" i="13" s="1"/>
  <c r="C716" i="13" s="1"/>
  <c r="C717" i="13" s="1"/>
  <c r="C718" i="13" s="1"/>
  <c r="C719" i="13" s="1"/>
  <c r="C720" i="13" s="1"/>
  <c r="C721" i="13" s="1"/>
  <c r="C722" i="13" s="1"/>
  <c r="C723" i="13" s="1"/>
  <c r="C724" i="13" s="1"/>
  <c r="C725" i="13" s="1"/>
  <c r="C726" i="13" s="1"/>
  <c r="C727" i="13" s="1"/>
  <c r="C728" i="13" s="1"/>
  <c r="C729" i="13" s="1"/>
  <c r="C730" i="13" s="1"/>
  <c r="C731" i="13" s="1"/>
  <c r="C732" i="13" s="1"/>
  <c r="C733" i="13" s="1"/>
  <c r="C734" i="13" s="1"/>
  <c r="C735" i="13" s="1"/>
  <c r="C736" i="13" s="1"/>
  <c r="L702" i="13"/>
  <c r="L694" i="13"/>
  <c r="P688" i="13"/>
  <c r="O688" i="13"/>
  <c r="O776" i="13"/>
  <c r="P776" i="13"/>
  <c r="O1972" i="13"/>
  <c r="M1972" i="13"/>
  <c r="O1971" i="13"/>
  <c r="M1971" i="13"/>
  <c r="O1970" i="13"/>
  <c r="M1970" i="13"/>
  <c r="O1969" i="13"/>
  <c r="M1969" i="13"/>
  <c r="O1968" i="13"/>
  <c r="M1968" i="13"/>
  <c r="O1967" i="13"/>
  <c r="M1967" i="13"/>
  <c r="O1966" i="13"/>
  <c r="M1966" i="13"/>
  <c r="O1965" i="13"/>
  <c r="M1965" i="13"/>
  <c r="O1964" i="13"/>
  <c r="M1964" i="13"/>
  <c r="O1963" i="13"/>
  <c r="M1963" i="13"/>
  <c r="O1962" i="13"/>
  <c r="M1962" i="13"/>
  <c r="O1961" i="13"/>
  <c r="M1961" i="13"/>
  <c r="O1960" i="13"/>
  <c r="M1960" i="13"/>
  <c r="O1959" i="13"/>
  <c r="M1959" i="13"/>
  <c r="O1958" i="13"/>
  <c r="M1958" i="13"/>
  <c r="O1957" i="13"/>
  <c r="M1957" i="13"/>
  <c r="O1956" i="13"/>
  <c r="M1956" i="13"/>
  <c r="O1955" i="13"/>
  <c r="M1955" i="13"/>
  <c r="O1954" i="13"/>
  <c r="M1954" i="13"/>
  <c r="O1953" i="13"/>
  <c r="M1953" i="13"/>
  <c r="O1952" i="13"/>
  <c r="M1952" i="13"/>
  <c r="O1951" i="13"/>
  <c r="M1951" i="13"/>
  <c r="O1950" i="13"/>
  <c r="M1950" i="13"/>
  <c r="O1949" i="13"/>
  <c r="M1949" i="13"/>
  <c r="O1948" i="13"/>
  <c r="M1948" i="13"/>
  <c r="O1947" i="13"/>
  <c r="M1947" i="13"/>
  <c r="O1946" i="13"/>
  <c r="M1946" i="13"/>
  <c r="O1945" i="13"/>
  <c r="M1945" i="13"/>
  <c r="O1944" i="13"/>
  <c r="M1944" i="13"/>
  <c r="O1943" i="13"/>
  <c r="M1943" i="13"/>
  <c r="O1942" i="13"/>
  <c r="M1942" i="13"/>
  <c r="O1941" i="13"/>
  <c r="M1941" i="13"/>
  <c r="O1940" i="13"/>
  <c r="M1940" i="13"/>
  <c r="O1939" i="13"/>
  <c r="M1939" i="13"/>
  <c r="O1938" i="13"/>
  <c r="M1938" i="13"/>
  <c r="O1937" i="13"/>
  <c r="M1937" i="13"/>
  <c r="O1936" i="13"/>
  <c r="M1936" i="13"/>
  <c r="O1935" i="13"/>
  <c r="M1935" i="13"/>
  <c r="O1934" i="13"/>
  <c r="M1934" i="13"/>
  <c r="O1933" i="13"/>
  <c r="M1933" i="13"/>
  <c r="O1932" i="13"/>
  <c r="M1932" i="13"/>
  <c r="O1931" i="13"/>
  <c r="M1931" i="13"/>
  <c r="O1930" i="13"/>
  <c r="M1930" i="13"/>
  <c r="O1929" i="13"/>
  <c r="M1929" i="13"/>
  <c r="O1928" i="13"/>
  <c r="M1928" i="13"/>
  <c r="O1927" i="13"/>
  <c r="M1927" i="13"/>
  <c r="O1926" i="13"/>
  <c r="M1926" i="13"/>
  <c r="O1925" i="13"/>
  <c r="M1925" i="13"/>
  <c r="D1913" i="13"/>
  <c r="C1913" i="13"/>
  <c r="C1914" i="13" s="1"/>
  <c r="C1915" i="13" s="1"/>
  <c r="C1916" i="13" s="1"/>
  <c r="C1917" i="13" s="1"/>
  <c r="C1918" i="13" s="1"/>
  <c r="C1919" i="13" s="1"/>
  <c r="C1920" i="13" s="1"/>
  <c r="C1921" i="13" s="1"/>
  <c r="C1922" i="13" s="1"/>
  <c r="C1923" i="13" s="1"/>
  <c r="C1924" i="13" s="1"/>
  <c r="C1925" i="13" s="1"/>
  <c r="C1926" i="13" s="1"/>
  <c r="C1927" i="13" s="1"/>
  <c r="C1928" i="13" s="1"/>
  <c r="C1929" i="13" s="1"/>
  <c r="C1930" i="13" s="1"/>
  <c r="C1931" i="13" s="1"/>
  <c r="C1932" i="13" s="1"/>
  <c r="C1933" i="13" s="1"/>
  <c r="C1934" i="13" s="1"/>
  <c r="C1935" i="13" s="1"/>
  <c r="C1936" i="13" s="1"/>
  <c r="C1937" i="13" s="1"/>
  <c r="C1938" i="13" s="1"/>
  <c r="C1939" i="13" s="1"/>
  <c r="C1940" i="13" s="1"/>
  <c r="C1941" i="13" s="1"/>
  <c r="C1942" i="13" s="1"/>
  <c r="L1908" i="13"/>
  <c r="L1900" i="13"/>
  <c r="P1894" i="13"/>
  <c r="O1894" i="13"/>
  <c r="O1886" i="13"/>
  <c r="M1886" i="13"/>
  <c r="O1885" i="13"/>
  <c r="M1885" i="13"/>
  <c r="O1884" i="13"/>
  <c r="M1884" i="13"/>
  <c r="O1883" i="13"/>
  <c r="M1883" i="13"/>
  <c r="O1882" i="13"/>
  <c r="M1882" i="13"/>
  <c r="O1881" i="13"/>
  <c r="M1881" i="13"/>
  <c r="O1880" i="13"/>
  <c r="M1880" i="13"/>
  <c r="O1879" i="13"/>
  <c r="M1879" i="13"/>
  <c r="O1878" i="13"/>
  <c r="M1878" i="13"/>
  <c r="O1877" i="13"/>
  <c r="M1877" i="13"/>
  <c r="O1876" i="13"/>
  <c r="M1876" i="13"/>
  <c r="O1875" i="13"/>
  <c r="M1875" i="13"/>
  <c r="O1874" i="13"/>
  <c r="M1874" i="13"/>
  <c r="O1873" i="13"/>
  <c r="M1873" i="13"/>
  <c r="O1872" i="13"/>
  <c r="M1872" i="13"/>
  <c r="O1871" i="13"/>
  <c r="M1871" i="13"/>
  <c r="O1870" i="13"/>
  <c r="M1870" i="13"/>
  <c r="O1869" i="13"/>
  <c r="M1869" i="13"/>
  <c r="O1868" i="13"/>
  <c r="M1868" i="13"/>
  <c r="O1867" i="13"/>
  <c r="M1867" i="13"/>
  <c r="O1866" i="13"/>
  <c r="M1866" i="13"/>
  <c r="O1865" i="13"/>
  <c r="M1865" i="13"/>
  <c r="O1864" i="13"/>
  <c r="M1864" i="13"/>
  <c r="O1863" i="13"/>
  <c r="M1863" i="13"/>
  <c r="O1862" i="13"/>
  <c r="M1862" i="13"/>
  <c r="O1861" i="13"/>
  <c r="M1861" i="13"/>
  <c r="O1860" i="13"/>
  <c r="M1860" i="13"/>
  <c r="O1859" i="13"/>
  <c r="M1859" i="13"/>
  <c r="O1858" i="13"/>
  <c r="M1858" i="13"/>
  <c r="O1857" i="13"/>
  <c r="M1857" i="13"/>
  <c r="O1856" i="13"/>
  <c r="M1856" i="13"/>
  <c r="O1855" i="13"/>
  <c r="M1855" i="13"/>
  <c r="O1854" i="13"/>
  <c r="M1854" i="13"/>
  <c r="O1853" i="13"/>
  <c r="M1853" i="13"/>
  <c r="O1852" i="13"/>
  <c r="M1852" i="13"/>
  <c r="O1851" i="13"/>
  <c r="M1851" i="13"/>
  <c r="O1850" i="13"/>
  <c r="M1850" i="13"/>
  <c r="O1849" i="13"/>
  <c r="M1849" i="13"/>
  <c r="O1848" i="13"/>
  <c r="M1848" i="13"/>
  <c r="O1847" i="13"/>
  <c r="M1847" i="13"/>
  <c r="O1846" i="13"/>
  <c r="M1846" i="13"/>
  <c r="O1845" i="13"/>
  <c r="M1845" i="13"/>
  <c r="O1844" i="13"/>
  <c r="M1844" i="13"/>
  <c r="O1843" i="13"/>
  <c r="M1843" i="13"/>
  <c r="O1842" i="13"/>
  <c r="M1842" i="13"/>
  <c r="O1841" i="13"/>
  <c r="M1841" i="13"/>
  <c r="O1840" i="13"/>
  <c r="M1840" i="13"/>
  <c r="O1839" i="13"/>
  <c r="M1839" i="13"/>
  <c r="O1838" i="13"/>
  <c r="M1838" i="13"/>
  <c r="O1837" i="13"/>
  <c r="M1837" i="13"/>
  <c r="D1827" i="13"/>
  <c r="C1827" i="13"/>
  <c r="C1828" i="13" s="1"/>
  <c r="C1829" i="13" s="1"/>
  <c r="C1830" i="13" s="1"/>
  <c r="C1831" i="13" s="1"/>
  <c r="C1832" i="13" s="1"/>
  <c r="C1833" i="13" s="1"/>
  <c r="C1834" i="13" s="1"/>
  <c r="C1835" i="13" s="1"/>
  <c r="C1836" i="13" s="1"/>
  <c r="C1837" i="13" s="1"/>
  <c r="C1838" i="13" s="1"/>
  <c r="C1839" i="13" s="1"/>
  <c r="C1840" i="13" s="1"/>
  <c r="C1841" i="13" s="1"/>
  <c r="C1842" i="13" s="1"/>
  <c r="C1843" i="13" s="1"/>
  <c r="C1844" i="13" s="1"/>
  <c r="C1845" i="13" s="1"/>
  <c r="C1846" i="13" s="1"/>
  <c r="C1847" i="13" s="1"/>
  <c r="C1848" i="13" s="1"/>
  <c r="C1849" i="13" s="1"/>
  <c r="C1850" i="13" s="1"/>
  <c r="C1851" i="13" s="1"/>
  <c r="C1852" i="13" s="1"/>
  <c r="C1853" i="13" s="1"/>
  <c r="C1854" i="13" s="1"/>
  <c r="C1855" i="13" s="1"/>
  <c r="C1856" i="13" s="1"/>
  <c r="N1815" i="13" s="1"/>
  <c r="L1822" i="13"/>
  <c r="L1814" i="13"/>
  <c r="P1808" i="13"/>
  <c r="O1808" i="13"/>
  <c r="O1800" i="13"/>
  <c r="M1800" i="13"/>
  <c r="O1799" i="13"/>
  <c r="M1799" i="13"/>
  <c r="O1798" i="13"/>
  <c r="M1798" i="13"/>
  <c r="O1797" i="13"/>
  <c r="M1797" i="13"/>
  <c r="O1796" i="13"/>
  <c r="M1796" i="13"/>
  <c r="O1795" i="13"/>
  <c r="M1795" i="13"/>
  <c r="O1794" i="13"/>
  <c r="M1794" i="13"/>
  <c r="O1793" i="13"/>
  <c r="M1793" i="13"/>
  <c r="O1792" i="13"/>
  <c r="M1792" i="13"/>
  <c r="O1791" i="13"/>
  <c r="M1791" i="13"/>
  <c r="O1790" i="13"/>
  <c r="M1790" i="13"/>
  <c r="O1789" i="13"/>
  <c r="M1789" i="13"/>
  <c r="O1788" i="13"/>
  <c r="M1788" i="13"/>
  <c r="O1787" i="13"/>
  <c r="M1787" i="13"/>
  <c r="O1786" i="13"/>
  <c r="M1786" i="13"/>
  <c r="O1785" i="13"/>
  <c r="M1785" i="13"/>
  <c r="O1784" i="13"/>
  <c r="M1784" i="13"/>
  <c r="O1783" i="13"/>
  <c r="M1783" i="13"/>
  <c r="O1782" i="13"/>
  <c r="M1782" i="13"/>
  <c r="O1781" i="13"/>
  <c r="M1781" i="13"/>
  <c r="O1780" i="13"/>
  <c r="M1780" i="13"/>
  <c r="O1779" i="13"/>
  <c r="M1779" i="13"/>
  <c r="O1778" i="13"/>
  <c r="M1778" i="13"/>
  <c r="O1777" i="13"/>
  <c r="M1777" i="13"/>
  <c r="O1776" i="13"/>
  <c r="M1776" i="13"/>
  <c r="O1775" i="13"/>
  <c r="M1775" i="13"/>
  <c r="O1774" i="13"/>
  <c r="M1774" i="13"/>
  <c r="O1773" i="13"/>
  <c r="M1773" i="13"/>
  <c r="O1772" i="13"/>
  <c r="M1772" i="13"/>
  <c r="O1771" i="13"/>
  <c r="M1771" i="13"/>
  <c r="O1770" i="13"/>
  <c r="M1770" i="13"/>
  <c r="O1769" i="13"/>
  <c r="M1769" i="13"/>
  <c r="O1768" i="13"/>
  <c r="M1768" i="13"/>
  <c r="O1767" i="13"/>
  <c r="M1767" i="13"/>
  <c r="O1766" i="13"/>
  <c r="M1766" i="13"/>
  <c r="O1765" i="13"/>
  <c r="M1765" i="13"/>
  <c r="O1764" i="13"/>
  <c r="M1764" i="13"/>
  <c r="O1763" i="13"/>
  <c r="M1763" i="13"/>
  <c r="O1762" i="13"/>
  <c r="M1762" i="13"/>
  <c r="O1761" i="13"/>
  <c r="M1761" i="13"/>
  <c r="O1760" i="13"/>
  <c r="M1760" i="13"/>
  <c r="O1759" i="13"/>
  <c r="M1759" i="13"/>
  <c r="O1758" i="13"/>
  <c r="M1758" i="13"/>
  <c r="O1757" i="13"/>
  <c r="M1757" i="13"/>
  <c r="O1756" i="13"/>
  <c r="M1756" i="13"/>
  <c r="O1755" i="13"/>
  <c r="M1755" i="13"/>
  <c r="O1754" i="13"/>
  <c r="M1754" i="13"/>
  <c r="O1753" i="13"/>
  <c r="M1753" i="13"/>
  <c r="O1752" i="13"/>
  <c r="M1752" i="13"/>
  <c r="O1751" i="13"/>
  <c r="M1751" i="13"/>
  <c r="O1750" i="13"/>
  <c r="M1750" i="13"/>
  <c r="O1749" i="13"/>
  <c r="M1749" i="13"/>
  <c r="D1741" i="13"/>
  <c r="C1741" i="13"/>
  <c r="C1742" i="13" s="1"/>
  <c r="C1743" i="13" s="1"/>
  <c r="C1744" i="13" s="1"/>
  <c r="C1745" i="13" s="1"/>
  <c r="C1746" i="13" s="1"/>
  <c r="C1747" i="13" s="1"/>
  <c r="C1748" i="13" s="1"/>
  <c r="C1749" i="13" s="1"/>
  <c r="C1750" i="13" s="1"/>
  <c r="C1751" i="13" s="1"/>
  <c r="C1752" i="13" s="1"/>
  <c r="C1753" i="13" s="1"/>
  <c r="C1754" i="13" s="1"/>
  <c r="C1755" i="13" s="1"/>
  <c r="C1756" i="13" s="1"/>
  <c r="C1757" i="13" s="1"/>
  <c r="C1758" i="13" s="1"/>
  <c r="C1759" i="13" s="1"/>
  <c r="C1760" i="13" s="1"/>
  <c r="C1761" i="13" s="1"/>
  <c r="C1762" i="13" s="1"/>
  <c r="C1763" i="13" s="1"/>
  <c r="C1764" i="13" s="1"/>
  <c r="C1765" i="13" s="1"/>
  <c r="C1766" i="13" s="1"/>
  <c r="C1767" i="13" s="1"/>
  <c r="C1768" i="13" s="1"/>
  <c r="C1769" i="13" s="1"/>
  <c r="C1770" i="13" s="1"/>
  <c r="M1729" i="13" s="1"/>
  <c r="L1736" i="13"/>
  <c r="L1728" i="13"/>
  <c r="P1722" i="13"/>
  <c r="O1722" i="13"/>
  <c r="O1714" i="13"/>
  <c r="M1714" i="13"/>
  <c r="O1713" i="13"/>
  <c r="M1713" i="13"/>
  <c r="O1712" i="13"/>
  <c r="M1712" i="13"/>
  <c r="O1711" i="13"/>
  <c r="M1711" i="13"/>
  <c r="O1710" i="13"/>
  <c r="M1710" i="13"/>
  <c r="O1709" i="13"/>
  <c r="M1709" i="13"/>
  <c r="O1708" i="13"/>
  <c r="M1708" i="13"/>
  <c r="O1707" i="13"/>
  <c r="M1707" i="13"/>
  <c r="O1706" i="13"/>
  <c r="M1706" i="13"/>
  <c r="O1705" i="13"/>
  <c r="M1705" i="13"/>
  <c r="O1704" i="13"/>
  <c r="M1704" i="13"/>
  <c r="O1703" i="13"/>
  <c r="M1703" i="13"/>
  <c r="O1702" i="13"/>
  <c r="M1702" i="13"/>
  <c r="O1701" i="13"/>
  <c r="M1701" i="13"/>
  <c r="O1700" i="13"/>
  <c r="M1700" i="13"/>
  <c r="O1699" i="13"/>
  <c r="M1699" i="13"/>
  <c r="O1698" i="13"/>
  <c r="M1698" i="13"/>
  <c r="O1697" i="13"/>
  <c r="M1697" i="13"/>
  <c r="O1696" i="13"/>
  <c r="M1696" i="13"/>
  <c r="O1695" i="13"/>
  <c r="M1695" i="13"/>
  <c r="O1694" i="13"/>
  <c r="M1694" i="13"/>
  <c r="O1693" i="13"/>
  <c r="M1693" i="13"/>
  <c r="O1692" i="13"/>
  <c r="M1692" i="13"/>
  <c r="O1691" i="13"/>
  <c r="M1691" i="13"/>
  <c r="O1690" i="13"/>
  <c r="M1690" i="13"/>
  <c r="O1689" i="13"/>
  <c r="M1689" i="13"/>
  <c r="O1688" i="13"/>
  <c r="M1688" i="13"/>
  <c r="O1687" i="13"/>
  <c r="M1687" i="13"/>
  <c r="O1686" i="13"/>
  <c r="M1686" i="13"/>
  <c r="O1685" i="13"/>
  <c r="M1685" i="13"/>
  <c r="O1684" i="13"/>
  <c r="M1684" i="13"/>
  <c r="O1683" i="13"/>
  <c r="M1683" i="13"/>
  <c r="O1682" i="13"/>
  <c r="M1682" i="13"/>
  <c r="O1681" i="13"/>
  <c r="M1681" i="13"/>
  <c r="O1680" i="13"/>
  <c r="M1680" i="13"/>
  <c r="O1679" i="13"/>
  <c r="M1679" i="13"/>
  <c r="O1678" i="13"/>
  <c r="M1678" i="13"/>
  <c r="O1677" i="13"/>
  <c r="M1677" i="13"/>
  <c r="O1676" i="13"/>
  <c r="M1676" i="13"/>
  <c r="O1675" i="13"/>
  <c r="M1675" i="13"/>
  <c r="O1674" i="13"/>
  <c r="M1674" i="13"/>
  <c r="O1673" i="13"/>
  <c r="M1673" i="13"/>
  <c r="O1672" i="13"/>
  <c r="M1672" i="13"/>
  <c r="O1671" i="13"/>
  <c r="M1671" i="13"/>
  <c r="O1670" i="13"/>
  <c r="M1670" i="13"/>
  <c r="O1669" i="13"/>
  <c r="M1669" i="13"/>
  <c r="O1668" i="13"/>
  <c r="M1668" i="13"/>
  <c r="O1667" i="13"/>
  <c r="M1667" i="13"/>
  <c r="O1666" i="13"/>
  <c r="M1666" i="13"/>
  <c r="O1665" i="13"/>
  <c r="M1665" i="13"/>
  <c r="O1664" i="13"/>
  <c r="M1664" i="13"/>
  <c r="O1663" i="13"/>
  <c r="M1663" i="13"/>
  <c r="O1662" i="13"/>
  <c r="M1662" i="13"/>
  <c r="O1661" i="13"/>
  <c r="M1661" i="13"/>
  <c r="O1660" i="13"/>
  <c r="M1660" i="13"/>
  <c r="O1659" i="13"/>
  <c r="M1659" i="13"/>
  <c r="D1655" i="13"/>
  <c r="C1655" i="13"/>
  <c r="C1656" i="13" s="1"/>
  <c r="C1657" i="13" s="1"/>
  <c r="C1658" i="13" s="1"/>
  <c r="C1659" i="13" s="1"/>
  <c r="C1660" i="13" s="1"/>
  <c r="C1661" i="13" s="1"/>
  <c r="C1662" i="13" s="1"/>
  <c r="C1663" i="13" s="1"/>
  <c r="C1664" i="13" s="1"/>
  <c r="C1665" i="13" s="1"/>
  <c r="C1666" i="13" s="1"/>
  <c r="C1667" i="13" s="1"/>
  <c r="C1668" i="13" s="1"/>
  <c r="C1669" i="13" s="1"/>
  <c r="C1670" i="13" s="1"/>
  <c r="C1671" i="13" s="1"/>
  <c r="C1672" i="13" s="1"/>
  <c r="C1673" i="13" s="1"/>
  <c r="C1674" i="13" s="1"/>
  <c r="C1675" i="13" s="1"/>
  <c r="C1676" i="13" s="1"/>
  <c r="C1677" i="13" s="1"/>
  <c r="C1678" i="13" s="1"/>
  <c r="C1679" i="13" s="1"/>
  <c r="C1680" i="13" s="1"/>
  <c r="C1681" i="13" s="1"/>
  <c r="C1682" i="13" s="1"/>
  <c r="C1683" i="13" s="1"/>
  <c r="C1684" i="13" s="1"/>
  <c r="C1685" i="13" s="1"/>
  <c r="C1686" i="13" s="1"/>
  <c r="C1687" i="13" s="1"/>
  <c r="C1688" i="13" s="1"/>
  <c r="C1689" i="13" s="1"/>
  <c r="C1690" i="13" s="1"/>
  <c r="C1691" i="13" s="1"/>
  <c r="C1692" i="13" s="1"/>
  <c r="C1693" i="13" s="1"/>
  <c r="C1694" i="13" s="1"/>
  <c r="C1695" i="13" s="1"/>
  <c r="C1696" i="13" s="1"/>
  <c r="C1697" i="13" s="1"/>
  <c r="C1698" i="13" s="1"/>
  <c r="C1699" i="13" s="1"/>
  <c r="C1700" i="13" s="1"/>
  <c r="C1701" i="13" s="1"/>
  <c r="C1702" i="13" s="1"/>
  <c r="C1703" i="13" s="1"/>
  <c r="C1704" i="13" s="1"/>
  <c r="C1705" i="13" s="1"/>
  <c r="C1706" i="13" s="1"/>
  <c r="C1707" i="13" s="1"/>
  <c r="C1708" i="13" s="1"/>
  <c r="C1709" i="13" s="1"/>
  <c r="C1710" i="13" s="1"/>
  <c r="C1711" i="13" s="1"/>
  <c r="C1712" i="13" s="1"/>
  <c r="C1713" i="13" s="1"/>
  <c r="C1714" i="13" s="1"/>
  <c r="J1652" i="13"/>
  <c r="E1655" i="13" s="1"/>
  <c r="L1650" i="13"/>
  <c r="L1642" i="13"/>
  <c r="P1636" i="13"/>
  <c r="O1636" i="13"/>
  <c r="O1628" i="13"/>
  <c r="M1628" i="13"/>
  <c r="O1627" i="13"/>
  <c r="M1627" i="13"/>
  <c r="O1626" i="13"/>
  <c r="M1626" i="13"/>
  <c r="O1625" i="13"/>
  <c r="M1625" i="13"/>
  <c r="O1624" i="13"/>
  <c r="M1624" i="13"/>
  <c r="O1623" i="13"/>
  <c r="M1623" i="13"/>
  <c r="O1622" i="13"/>
  <c r="M1622" i="13"/>
  <c r="O1621" i="13"/>
  <c r="M1621" i="13"/>
  <c r="O1620" i="13"/>
  <c r="M1620" i="13"/>
  <c r="O1619" i="13"/>
  <c r="M1619" i="13"/>
  <c r="O1618" i="13"/>
  <c r="M1618" i="13"/>
  <c r="O1617" i="13"/>
  <c r="M1617" i="13"/>
  <c r="O1616" i="13"/>
  <c r="M1616" i="13"/>
  <c r="O1615" i="13"/>
  <c r="M1615" i="13"/>
  <c r="O1614" i="13"/>
  <c r="M1614" i="13"/>
  <c r="O1613" i="13"/>
  <c r="M1613" i="13"/>
  <c r="O1612" i="13"/>
  <c r="M1612" i="13"/>
  <c r="O1611" i="13"/>
  <c r="M1611" i="13"/>
  <c r="O1610" i="13"/>
  <c r="M1610" i="13"/>
  <c r="O1609" i="13"/>
  <c r="M1609" i="13"/>
  <c r="O1608" i="13"/>
  <c r="M1608" i="13"/>
  <c r="O1607" i="13"/>
  <c r="M1607" i="13"/>
  <c r="O1606" i="13"/>
  <c r="M1606" i="13"/>
  <c r="O1605" i="13"/>
  <c r="M1605" i="13"/>
  <c r="O1604" i="13"/>
  <c r="M1604" i="13"/>
  <c r="O1603" i="13"/>
  <c r="M1603" i="13"/>
  <c r="O1602" i="13"/>
  <c r="M1602" i="13"/>
  <c r="O1601" i="13"/>
  <c r="M1601" i="13"/>
  <c r="O1600" i="13"/>
  <c r="M1600" i="13"/>
  <c r="O1599" i="13"/>
  <c r="M1599" i="13"/>
  <c r="O1598" i="13"/>
  <c r="M1598" i="13"/>
  <c r="O1597" i="13"/>
  <c r="M1597" i="13"/>
  <c r="O1596" i="13"/>
  <c r="M1596" i="13"/>
  <c r="O1595" i="13"/>
  <c r="M1595" i="13"/>
  <c r="O1594" i="13"/>
  <c r="M1594" i="13"/>
  <c r="O1593" i="13"/>
  <c r="M1593" i="13"/>
  <c r="O1592" i="13"/>
  <c r="M1592" i="13"/>
  <c r="O1591" i="13"/>
  <c r="M1591" i="13"/>
  <c r="O1590" i="13"/>
  <c r="M1590" i="13"/>
  <c r="O1589" i="13"/>
  <c r="M1589" i="13"/>
  <c r="O1588" i="13"/>
  <c r="M1588" i="13"/>
  <c r="O1587" i="13"/>
  <c r="M1587" i="13"/>
  <c r="O1586" i="13"/>
  <c r="M1586" i="13"/>
  <c r="O1585" i="13"/>
  <c r="M1585" i="13"/>
  <c r="O1584" i="13"/>
  <c r="M1584" i="13"/>
  <c r="O1583" i="13"/>
  <c r="M1583" i="13"/>
  <c r="O1582" i="13"/>
  <c r="M1582" i="13"/>
  <c r="O1581" i="13"/>
  <c r="M1581" i="13"/>
  <c r="O1580" i="13"/>
  <c r="M1580" i="13"/>
  <c r="D1569" i="13"/>
  <c r="C1569" i="13"/>
  <c r="C1570" i="13" s="1"/>
  <c r="C1571" i="13" s="1"/>
  <c r="C1572" i="13" s="1"/>
  <c r="C1573" i="13" s="1"/>
  <c r="C1574" i="13" s="1"/>
  <c r="C1575" i="13" s="1"/>
  <c r="C1576" i="13" s="1"/>
  <c r="C1577" i="13" s="1"/>
  <c r="C1578" i="13" s="1"/>
  <c r="C1579" i="13" s="1"/>
  <c r="C1580" i="13" s="1"/>
  <c r="C1581" i="13" s="1"/>
  <c r="C1582" i="13" s="1"/>
  <c r="C1583" i="13" s="1"/>
  <c r="C1584" i="13" s="1"/>
  <c r="C1585" i="13" s="1"/>
  <c r="C1586" i="13" s="1"/>
  <c r="C1587" i="13" s="1"/>
  <c r="C1588" i="13" s="1"/>
  <c r="C1589" i="13" s="1"/>
  <c r="C1590" i="13" s="1"/>
  <c r="C1591" i="13" s="1"/>
  <c r="C1592" i="13" s="1"/>
  <c r="C1593" i="13" s="1"/>
  <c r="C1594" i="13" s="1"/>
  <c r="C1595" i="13" s="1"/>
  <c r="C1596" i="13" s="1"/>
  <c r="C1597" i="13" s="1"/>
  <c r="C1598" i="13" s="1"/>
  <c r="M1557" i="13" s="1"/>
  <c r="L1564" i="13"/>
  <c r="L1556" i="13"/>
  <c r="P1550" i="13"/>
  <c r="O1550" i="13"/>
  <c r="O1542" i="13"/>
  <c r="M1542" i="13"/>
  <c r="O1541" i="13"/>
  <c r="M1541" i="13"/>
  <c r="O1540" i="13"/>
  <c r="M1540" i="13"/>
  <c r="O1539" i="13"/>
  <c r="M1539" i="13"/>
  <c r="O1538" i="13"/>
  <c r="M1538" i="13"/>
  <c r="O1537" i="13"/>
  <c r="M1537" i="13"/>
  <c r="O1536" i="13"/>
  <c r="M1536" i="13"/>
  <c r="O1535" i="13"/>
  <c r="M1535" i="13"/>
  <c r="O1534" i="13"/>
  <c r="M1534" i="13"/>
  <c r="O1533" i="13"/>
  <c r="M1533" i="13"/>
  <c r="O1532" i="13"/>
  <c r="M1532" i="13"/>
  <c r="O1531" i="13"/>
  <c r="M1531" i="13"/>
  <c r="O1530" i="13"/>
  <c r="M1530" i="13"/>
  <c r="O1529" i="13"/>
  <c r="M1529" i="13"/>
  <c r="O1528" i="13"/>
  <c r="M1528" i="13"/>
  <c r="O1527" i="13"/>
  <c r="M1527" i="13"/>
  <c r="O1526" i="13"/>
  <c r="M1526" i="13"/>
  <c r="O1525" i="13"/>
  <c r="M1525" i="13"/>
  <c r="O1524" i="13"/>
  <c r="M1524" i="13"/>
  <c r="O1523" i="13"/>
  <c r="M1523" i="13"/>
  <c r="O1522" i="13"/>
  <c r="M1522" i="13"/>
  <c r="O1521" i="13"/>
  <c r="M1521" i="13"/>
  <c r="O1520" i="13"/>
  <c r="M1520" i="13"/>
  <c r="O1519" i="13"/>
  <c r="M1519" i="13"/>
  <c r="O1518" i="13"/>
  <c r="M1518" i="13"/>
  <c r="O1517" i="13"/>
  <c r="M1517" i="13"/>
  <c r="O1516" i="13"/>
  <c r="M1516" i="13"/>
  <c r="O1515" i="13"/>
  <c r="M1515" i="13"/>
  <c r="O1514" i="13"/>
  <c r="M1514" i="13"/>
  <c r="O1513" i="13"/>
  <c r="M1513" i="13"/>
  <c r="O1512" i="13"/>
  <c r="M1512" i="13"/>
  <c r="O1511" i="13"/>
  <c r="M1511" i="13"/>
  <c r="O1510" i="13"/>
  <c r="M1510" i="13"/>
  <c r="O1509" i="13"/>
  <c r="M1509" i="13"/>
  <c r="O1508" i="13"/>
  <c r="M1508" i="13"/>
  <c r="O1507" i="13"/>
  <c r="M1507" i="13"/>
  <c r="O1506" i="13"/>
  <c r="M1506" i="13"/>
  <c r="O1505" i="13"/>
  <c r="M1505" i="13"/>
  <c r="O1504" i="13"/>
  <c r="M1504" i="13"/>
  <c r="O1503" i="13"/>
  <c r="M1503" i="13"/>
  <c r="O1502" i="13"/>
  <c r="M1502" i="13"/>
  <c r="O1501" i="13"/>
  <c r="M1501" i="13"/>
  <c r="O1500" i="13"/>
  <c r="M1500" i="13"/>
  <c r="O1499" i="13"/>
  <c r="M1499" i="13"/>
  <c r="O1498" i="13"/>
  <c r="M1498" i="13"/>
  <c r="O1497" i="13"/>
  <c r="M1497" i="13"/>
  <c r="O1496" i="13"/>
  <c r="M1496" i="13"/>
  <c r="O1495" i="13"/>
  <c r="M1495" i="13"/>
  <c r="O1494" i="13"/>
  <c r="M1494" i="13"/>
  <c r="D1483" i="13"/>
  <c r="C1483" i="13"/>
  <c r="C1484" i="13" s="1"/>
  <c r="C1485" i="13" s="1"/>
  <c r="C1486" i="13" s="1"/>
  <c r="C1487" i="13" s="1"/>
  <c r="C1488" i="13" s="1"/>
  <c r="C1489" i="13" s="1"/>
  <c r="C1490" i="13" s="1"/>
  <c r="C1491" i="13" s="1"/>
  <c r="C1492" i="13" s="1"/>
  <c r="C1493" i="13" s="1"/>
  <c r="C1494" i="13" s="1"/>
  <c r="C1495" i="13" s="1"/>
  <c r="C1496" i="13" s="1"/>
  <c r="C1497" i="13" s="1"/>
  <c r="C1498" i="13" s="1"/>
  <c r="C1499" i="13" s="1"/>
  <c r="C1500" i="13" s="1"/>
  <c r="C1501" i="13" s="1"/>
  <c r="C1502" i="13" s="1"/>
  <c r="C1503" i="13" s="1"/>
  <c r="C1504" i="13" s="1"/>
  <c r="C1505" i="13" s="1"/>
  <c r="C1506" i="13" s="1"/>
  <c r="C1507" i="13" s="1"/>
  <c r="C1508" i="13" s="1"/>
  <c r="C1509" i="13" s="1"/>
  <c r="C1510" i="13" s="1"/>
  <c r="C1511" i="13" s="1"/>
  <c r="C1512" i="13" s="1"/>
  <c r="M1471" i="13" s="1"/>
  <c r="L1478" i="13"/>
  <c r="L1470" i="13"/>
  <c r="P1464" i="13"/>
  <c r="O1464" i="13"/>
  <c r="O1456" i="13"/>
  <c r="M1456" i="13"/>
  <c r="O1455" i="13"/>
  <c r="M1455" i="13"/>
  <c r="O1454" i="13"/>
  <c r="M1454" i="13"/>
  <c r="O1453" i="13"/>
  <c r="M1453" i="13"/>
  <c r="O1452" i="13"/>
  <c r="M1452" i="13"/>
  <c r="O1451" i="13"/>
  <c r="M1451" i="13"/>
  <c r="O1450" i="13"/>
  <c r="M1450" i="13"/>
  <c r="O1449" i="13"/>
  <c r="M1449" i="13"/>
  <c r="O1448" i="13"/>
  <c r="M1448" i="13"/>
  <c r="O1447" i="13"/>
  <c r="M1447" i="13"/>
  <c r="O1446" i="13"/>
  <c r="M1446" i="13"/>
  <c r="O1445" i="13"/>
  <c r="M1445" i="13"/>
  <c r="O1444" i="13"/>
  <c r="M1444" i="13"/>
  <c r="O1443" i="13"/>
  <c r="M1443" i="13"/>
  <c r="O1442" i="13"/>
  <c r="M1442" i="13"/>
  <c r="O1441" i="13"/>
  <c r="M1441" i="13"/>
  <c r="O1440" i="13"/>
  <c r="M1440" i="13"/>
  <c r="O1439" i="13"/>
  <c r="M1439" i="13"/>
  <c r="O1438" i="13"/>
  <c r="M1438" i="13"/>
  <c r="O1437" i="13"/>
  <c r="M1437" i="13"/>
  <c r="O1436" i="13"/>
  <c r="M1436" i="13"/>
  <c r="O1435" i="13"/>
  <c r="M1435" i="13"/>
  <c r="O1434" i="13"/>
  <c r="M1434" i="13"/>
  <c r="O1433" i="13"/>
  <c r="M1433" i="13"/>
  <c r="O1432" i="13"/>
  <c r="M1432" i="13"/>
  <c r="O1431" i="13"/>
  <c r="M1431" i="13"/>
  <c r="O1430" i="13"/>
  <c r="M1430" i="13"/>
  <c r="O1429" i="13"/>
  <c r="M1429" i="13"/>
  <c r="O1428" i="13"/>
  <c r="M1428" i="13"/>
  <c r="O1427" i="13"/>
  <c r="M1427" i="13"/>
  <c r="O1426" i="13"/>
  <c r="M1426" i="13"/>
  <c r="O1425" i="13"/>
  <c r="M1425" i="13"/>
  <c r="O1424" i="13"/>
  <c r="M1424" i="13"/>
  <c r="O1423" i="13"/>
  <c r="M1423" i="13"/>
  <c r="O1422" i="13"/>
  <c r="M1422" i="13"/>
  <c r="O1421" i="13"/>
  <c r="M1421" i="13"/>
  <c r="O1420" i="13"/>
  <c r="M1420" i="13"/>
  <c r="O1419" i="13"/>
  <c r="M1419" i="13"/>
  <c r="O1418" i="13"/>
  <c r="M1418" i="13"/>
  <c r="O1417" i="13"/>
  <c r="M1417" i="13"/>
  <c r="O1416" i="13"/>
  <c r="M1416" i="13"/>
  <c r="O1415" i="13"/>
  <c r="M1415" i="13"/>
  <c r="O1414" i="13"/>
  <c r="M1414" i="13"/>
  <c r="O1413" i="13"/>
  <c r="M1413" i="13"/>
  <c r="O1412" i="13"/>
  <c r="M1412" i="13"/>
  <c r="O1411" i="13"/>
  <c r="M1411" i="13"/>
  <c r="O1410" i="13"/>
  <c r="M1410" i="13"/>
  <c r="O1409" i="13"/>
  <c r="M1409" i="13"/>
  <c r="O1408" i="13"/>
  <c r="M1408" i="13"/>
  <c r="D1397" i="13"/>
  <c r="C1397" i="13"/>
  <c r="C1398" i="13" s="1"/>
  <c r="C1399" i="13" s="1"/>
  <c r="C1400" i="13" s="1"/>
  <c r="C1401" i="13" s="1"/>
  <c r="C1402" i="13" s="1"/>
  <c r="C1403" i="13" s="1"/>
  <c r="C1404" i="13" s="1"/>
  <c r="C1405" i="13" s="1"/>
  <c r="C1406" i="13" s="1"/>
  <c r="C1407" i="13" s="1"/>
  <c r="C1408" i="13" s="1"/>
  <c r="C1409" i="13" s="1"/>
  <c r="C1410" i="13" s="1"/>
  <c r="C1411" i="13" s="1"/>
  <c r="C1412" i="13" s="1"/>
  <c r="C1413" i="13" s="1"/>
  <c r="C1414" i="13" s="1"/>
  <c r="C1415" i="13" s="1"/>
  <c r="C1416" i="13" s="1"/>
  <c r="C1417" i="13" s="1"/>
  <c r="C1418" i="13" s="1"/>
  <c r="C1419" i="13" s="1"/>
  <c r="C1420" i="13" s="1"/>
  <c r="C1421" i="13" s="1"/>
  <c r="C1422" i="13" s="1"/>
  <c r="C1423" i="13" s="1"/>
  <c r="C1424" i="13" s="1"/>
  <c r="C1425" i="13" s="1"/>
  <c r="C1426" i="13" s="1"/>
  <c r="C1427" i="13" s="1"/>
  <c r="C1428" i="13" s="1"/>
  <c r="C1429" i="13" s="1"/>
  <c r="C1430" i="13" s="1"/>
  <c r="C1431" i="13" s="1"/>
  <c r="C1432" i="13" s="1"/>
  <c r="C1433" i="13" s="1"/>
  <c r="C1434" i="13" s="1"/>
  <c r="C1435" i="13" s="1"/>
  <c r="C1436" i="13" s="1"/>
  <c r="C1437" i="13" s="1"/>
  <c r="C1438" i="13" s="1"/>
  <c r="C1439" i="13" s="1"/>
  <c r="C1440" i="13" s="1"/>
  <c r="C1441" i="13" s="1"/>
  <c r="C1442" i="13" s="1"/>
  <c r="C1443" i="13" s="1"/>
  <c r="C1444" i="13" s="1"/>
  <c r="C1445" i="13" s="1"/>
  <c r="C1446" i="13" s="1"/>
  <c r="C1447" i="13" s="1"/>
  <c r="C1448" i="13" s="1"/>
  <c r="C1449" i="13" s="1"/>
  <c r="C1450" i="13" s="1"/>
  <c r="C1451" i="13" s="1"/>
  <c r="C1452" i="13" s="1"/>
  <c r="C1453" i="13" s="1"/>
  <c r="C1454" i="13" s="1"/>
  <c r="C1455" i="13" s="1"/>
  <c r="C1456" i="13" s="1"/>
  <c r="L1392" i="13"/>
  <c r="L1384" i="13"/>
  <c r="P1378" i="13"/>
  <c r="O1378" i="13"/>
  <c r="O1370" i="13"/>
  <c r="M1370" i="13"/>
  <c r="O1369" i="13"/>
  <c r="M1369" i="13"/>
  <c r="O1368" i="13"/>
  <c r="M1368" i="13"/>
  <c r="O1367" i="13"/>
  <c r="M1367" i="13"/>
  <c r="O1366" i="13"/>
  <c r="M1366" i="13"/>
  <c r="O1365" i="13"/>
  <c r="M1365" i="13"/>
  <c r="O1364" i="13"/>
  <c r="M1364" i="13"/>
  <c r="O1363" i="13"/>
  <c r="M1363" i="13"/>
  <c r="O1362" i="13"/>
  <c r="M1362" i="13"/>
  <c r="O1361" i="13"/>
  <c r="M1361" i="13"/>
  <c r="O1360" i="13"/>
  <c r="M1360" i="13"/>
  <c r="O1359" i="13"/>
  <c r="M1359" i="13"/>
  <c r="O1358" i="13"/>
  <c r="M1358" i="13"/>
  <c r="O1357" i="13"/>
  <c r="M1357" i="13"/>
  <c r="O1356" i="13"/>
  <c r="M1356" i="13"/>
  <c r="O1355" i="13"/>
  <c r="M1355" i="13"/>
  <c r="O1354" i="13"/>
  <c r="M1354" i="13"/>
  <c r="O1353" i="13"/>
  <c r="M1353" i="13"/>
  <c r="O1352" i="13"/>
  <c r="M1352" i="13"/>
  <c r="O1351" i="13"/>
  <c r="M1351" i="13"/>
  <c r="O1350" i="13"/>
  <c r="M1350" i="13"/>
  <c r="O1349" i="13"/>
  <c r="M1349" i="13"/>
  <c r="O1348" i="13"/>
  <c r="M1348" i="13"/>
  <c r="O1347" i="13"/>
  <c r="M1347" i="13"/>
  <c r="O1346" i="13"/>
  <c r="M1346" i="13"/>
  <c r="O1345" i="13"/>
  <c r="M1345" i="13"/>
  <c r="O1344" i="13"/>
  <c r="M1344" i="13"/>
  <c r="O1343" i="13"/>
  <c r="M1343" i="13"/>
  <c r="O1342" i="13"/>
  <c r="M1342" i="13"/>
  <c r="O1341" i="13"/>
  <c r="M1341" i="13"/>
  <c r="O1340" i="13"/>
  <c r="M1340" i="13"/>
  <c r="O1339" i="13"/>
  <c r="M1339" i="13"/>
  <c r="O1338" i="13"/>
  <c r="M1338" i="13"/>
  <c r="O1337" i="13"/>
  <c r="M1337" i="13"/>
  <c r="O1336" i="13"/>
  <c r="M1336" i="13"/>
  <c r="O1335" i="13"/>
  <c r="M1335" i="13"/>
  <c r="O1334" i="13"/>
  <c r="M1334" i="13"/>
  <c r="O1333" i="13"/>
  <c r="M1333" i="13"/>
  <c r="O1332" i="13"/>
  <c r="M1332" i="13"/>
  <c r="O1331" i="13"/>
  <c r="M1331" i="13"/>
  <c r="O1330" i="13"/>
  <c r="M1330" i="13"/>
  <c r="O1329" i="13"/>
  <c r="M1329" i="13"/>
  <c r="O1328" i="13"/>
  <c r="M1328" i="13"/>
  <c r="O1327" i="13"/>
  <c r="M1327" i="13"/>
  <c r="O1326" i="13"/>
  <c r="M1326" i="13"/>
  <c r="O1325" i="13"/>
  <c r="M1325" i="13"/>
  <c r="O1324" i="13"/>
  <c r="M1324" i="13"/>
  <c r="O1323" i="13"/>
  <c r="M1323" i="13"/>
  <c r="O1322" i="13"/>
  <c r="M1322" i="13"/>
  <c r="D1311" i="13"/>
  <c r="C1311" i="13"/>
  <c r="C1312" i="13" s="1"/>
  <c r="C1313" i="13" s="1"/>
  <c r="C1314" i="13" s="1"/>
  <c r="C1315" i="13" s="1"/>
  <c r="C1316" i="13" s="1"/>
  <c r="C1317" i="13" s="1"/>
  <c r="C1318" i="13" s="1"/>
  <c r="C1319" i="13" s="1"/>
  <c r="C1320" i="13" s="1"/>
  <c r="C1321" i="13" s="1"/>
  <c r="C1322" i="13" s="1"/>
  <c r="C1323" i="13" s="1"/>
  <c r="C1324" i="13" s="1"/>
  <c r="C1325" i="13" s="1"/>
  <c r="C1326" i="13" s="1"/>
  <c r="C1327" i="13" s="1"/>
  <c r="C1328" i="13" s="1"/>
  <c r="C1329" i="13" s="1"/>
  <c r="C1330" i="13" s="1"/>
  <c r="C1331" i="13" s="1"/>
  <c r="C1332" i="13" s="1"/>
  <c r="C1333" i="13" s="1"/>
  <c r="C1334" i="13" s="1"/>
  <c r="C1335" i="13" s="1"/>
  <c r="C1336" i="13" s="1"/>
  <c r="C1337" i="13" s="1"/>
  <c r="C1338" i="13" s="1"/>
  <c r="C1339" i="13" s="1"/>
  <c r="C1340" i="13" s="1"/>
  <c r="L1306" i="13"/>
  <c r="L1298" i="13"/>
  <c r="P1292" i="13"/>
  <c r="O1292" i="13"/>
  <c r="O1284" i="13"/>
  <c r="M1284" i="13"/>
  <c r="O1283" i="13"/>
  <c r="M1283" i="13"/>
  <c r="O1282" i="13"/>
  <c r="M1282" i="13"/>
  <c r="O1281" i="13"/>
  <c r="M1281" i="13"/>
  <c r="O1280" i="13"/>
  <c r="M1280" i="13"/>
  <c r="O1279" i="13"/>
  <c r="M1279" i="13"/>
  <c r="O1278" i="13"/>
  <c r="M1278" i="13"/>
  <c r="O1277" i="13"/>
  <c r="M1277" i="13"/>
  <c r="O1276" i="13"/>
  <c r="M1276" i="13"/>
  <c r="O1275" i="13"/>
  <c r="M1275" i="13"/>
  <c r="O1274" i="13"/>
  <c r="M1274" i="13"/>
  <c r="O1273" i="13"/>
  <c r="M1273" i="13"/>
  <c r="O1272" i="13"/>
  <c r="M1272" i="13"/>
  <c r="O1271" i="13"/>
  <c r="M1271" i="13"/>
  <c r="O1270" i="13"/>
  <c r="M1270" i="13"/>
  <c r="O1269" i="13"/>
  <c r="M1269" i="13"/>
  <c r="O1268" i="13"/>
  <c r="M1268" i="13"/>
  <c r="O1267" i="13"/>
  <c r="M1267" i="13"/>
  <c r="O1266" i="13"/>
  <c r="M1266" i="13"/>
  <c r="O1265" i="13"/>
  <c r="M1265" i="13"/>
  <c r="O1264" i="13"/>
  <c r="M1264" i="13"/>
  <c r="O1263" i="13"/>
  <c r="M1263" i="13"/>
  <c r="O1262" i="13"/>
  <c r="M1262" i="13"/>
  <c r="O1261" i="13"/>
  <c r="M1261" i="13"/>
  <c r="O1260" i="13"/>
  <c r="M1260" i="13"/>
  <c r="O1259" i="13"/>
  <c r="M1259" i="13"/>
  <c r="O1258" i="13"/>
  <c r="M1258" i="13"/>
  <c r="O1257" i="13"/>
  <c r="M1257" i="13"/>
  <c r="O1256" i="13"/>
  <c r="M1256" i="13"/>
  <c r="O1255" i="13"/>
  <c r="M1255" i="13"/>
  <c r="O1254" i="13"/>
  <c r="M1254" i="13"/>
  <c r="O1253" i="13"/>
  <c r="M1253" i="13"/>
  <c r="O1252" i="13"/>
  <c r="M1252" i="13"/>
  <c r="O1251" i="13"/>
  <c r="M1251" i="13"/>
  <c r="O1250" i="13"/>
  <c r="M1250" i="13"/>
  <c r="O1249" i="13"/>
  <c r="M1249" i="13"/>
  <c r="O1248" i="13"/>
  <c r="M1248" i="13"/>
  <c r="O1247" i="13"/>
  <c r="M1247" i="13"/>
  <c r="O1246" i="13"/>
  <c r="M1246" i="13"/>
  <c r="O1245" i="13"/>
  <c r="M1245" i="13"/>
  <c r="O1244" i="13"/>
  <c r="M1244" i="13"/>
  <c r="O1243" i="13"/>
  <c r="M1243" i="13"/>
  <c r="O1242" i="13"/>
  <c r="M1242" i="13"/>
  <c r="O1241" i="13"/>
  <c r="M1241" i="13"/>
  <c r="O1240" i="13"/>
  <c r="M1240" i="13"/>
  <c r="O1239" i="13"/>
  <c r="M1239" i="13"/>
  <c r="O1238" i="13"/>
  <c r="M1238" i="13"/>
  <c r="O1237" i="13"/>
  <c r="M1237" i="13"/>
  <c r="O1236" i="13"/>
  <c r="M1236" i="13"/>
  <c r="D1225" i="13"/>
  <c r="C1225" i="13"/>
  <c r="C1226" i="13" s="1"/>
  <c r="C1227" i="13" s="1"/>
  <c r="C1228" i="13" s="1"/>
  <c r="C1229" i="13" s="1"/>
  <c r="C1230" i="13" s="1"/>
  <c r="C1231" i="13" s="1"/>
  <c r="C1232" i="13" s="1"/>
  <c r="C1233" i="13" s="1"/>
  <c r="C1234" i="13" s="1"/>
  <c r="C1235" i="13" s="1"/>
  <c r="C1236" i="13" s="1"/>
  <c r="C1237" i="13" s="1"/>
  <c r="C1238" i="13" s="1"/>
  <c r="C1239" i="13" s="1"/>
  <c r="C1240" i="13" s="1"/>
  <c r="C1241" i="13" s="1"/>
  <c r="C1242" i="13" s="1"/>
  <c r="C1243" i="13" s="1"/>
  <c r="C1244" i="13" s="1"/>
  <c r="C1245" i="13" s="1"/>
  <c r="C1246" i="13" s="1"/>
  <c r="C1247" i="13" s="1"/>
  <c r="C1248" i="13" s="1"/>
  <c r="C1249" i="13" s="1"/>
  <c r="C1250" i="13" s="1"/>
  <c r="C1251" i="13" s="1"/>
  <c r="C1252" i="13" s="1"/>
  <c r="C1253" i="13" s="1"/>
  <c r="C1254" i="13" s="1"/>
  <c r="L1220" i="13"/>
  <c r="L1212" i="13"/>
  <c r="P1206" i="13"/>
  <c r="O1206" i="13"/>
  <c r="O1198" i="13"/>
  <c r="M1198" i="13"/>
  <c r="O1197" i="13"/>
  <c r="M1197" i="13"/>
  <c r="O1196" i="13"/>
  <c r="M1196" i="13"/>
  <c r="O1195" i="13"/>
  <c r="M1195" i="13"/>
  <c r="O1194" i="13"/>
  <c r="M1194" i="13"/>
  <c r="O1193" i="13"/>
  <c r="M1193" i="13"/>
  <c r="O1192" i="13"/>
  <c r="M1192" i="13"/>
  <c r="O1191" i="13"/>
  <c r="M1191" i="13"/>
  <c r="O1190" i="13"/>
  <c r="M1190" i="13"/>
  <c r="O1189" i="13"/>
  <c r="M1189" i="13"/>
  <c r="O1188" i="13"/>
  <c r="M1188" i="13"/>
  <c r="O1187" i="13"/>
  <c r="M1187" i="13"/>
  <c r="O1186" i="13"/>
  <c r="M1186" i="13"/>
  <c r="O1185" i="13"/>
  <c r="M1185" i="13"/>
  <c r="O1184" i="13"/>
  <c r="M1184" i="13"/>
  <c r="O1183" i="13"/>
  <c r="M1183" i="13"/>
  <c r="O1182" i="13"/>
  <c r="M1182" i="13"/>
  <c r="O1181" i="13"/>
  <c r="M1181" i="13"/>
  <c r="O1180" i="13"/>
  <c r="M1180" i="13"/>
  <c r="O1179" i="13"/>
  <c r="M1179" i="13"/>
  <c r="O1178" i="13"/>
  <c r="M1178" i="13"/>
  <c r="O1177" i="13"/>
  <c r="M1177" i="13"/>
  <c r="O1176" i="13"/>
  <c r="M1176" i="13"/>
  <c r="O1175" i="13"/>
  <c r="M1175" i="13"/>
  <c r="O1174" i="13"/>
  <c r="M1174" i="13"/>
  <c r="O1173" i="13"/>
  <c r="M1173" i="13"/>
  <c r="O1172" i="13"/>
  <c r="M1172" i="13"/>
  <c r="O1171" i="13"/>
  <c r="M1171" i="13"/>
  <c r="O1170" i="13"/>
  <c r="M1170" i="13"/>
  <c r="O1169" i="13"/>
  <c r="M1169" i="13"/>
  <c r="O1168" i="13"/>
  <c r="M1168" i="13"/>
  <c r="O1167" i="13"/>
  <c r="M1167" i="13"/>
  <c r="O1166" i="13"/>
  <c r="M1166" i="13"/>
  <c r="O1165" i="13"/>
  <c r="M1165" i="13"/>
  <c r="O1164" i="13"/>
  <c r="M1164" i="13"/>
  <c r="O1163" i="13"/>
  <c r="M1163" i="13"/>
  <c r="O1162" i="13"/>
  <c r="M1162" i="13"/>
  <c r="O1161" i="13"/>
  <c r="M1161" i="13"/>
  <c r="O1160" i="13"/>
  <c r="M1160" i="13"/>
  <c r="O1159" i="13"/>
  <c r="M1159" i="13"/>
  <c r="O1158" i="13"/>
  <c r="M1158" i="13"/>
  <c r="O1157" i="13"/>
  <c r="M1157" i="13"/>
  <c r="O1156" i="13"/>
  <c r="M1156" i="13"/>
  <c r="O1155" i="13"/>
  <c r="M1155" i="13"/>
  <c r="O1154" i="13"/>
  <c r="M1154" i="13"/>
  <c r="O1153" i="13"/>
  <c r="M1153" i="13"/>
  <c r="O1152" i="13"/>
  <c r="M1152" i="13"/>
  <c r="O1151" i="13"/>
  <c r="M1151" i="13"/>
  <c r="O1150" i="13"/>
  <c r="M1150" i="13"/>
  <c r="D1139" i="13"/>
  <c r="C1139" i="13"/>
  <c r="C1140" i="13" s="1"/>
  <c r="C1141" i="13" s="1"/>
  <c r="C1142" i="13" s="1"/>
  <c r="C1143" i="13" s="1"/>
  <c r="C1144" i="13" s="1"/>
  <c r="C1145" i="13" s="1"/>
  <c r="C1146" i="13" s="1"/>
  <c r="C1147" i="13" s="1"/>
  <c r="C1148" i="13" s="1"/>
  <c r="C1149" i="13" s="1"/>
  <c r="C1150" i="13" s="1"/>
  <c r="C1151" i="13" s="1"/>
  <c r="C1152" i="13" s="1"/>
  <c r="C1153" i="13" s="1"/>
  <c r="C1154" i="13" s="1"/>
  <c r="C1155" i="13" s="1"/>
  <c r="C1156" i="13" s="1"/>
  <c r="C1157" i="13" s="1"/>
  <c r="C1158" i="13" s="1"/>
  <c r="C1159" i="13" s="1"/>
  <c r="C1160" i="13" s="1"/>
  <c r="C1161" i="13" s="1"/>
  <c r="C1162" i="13" s="1"/>
  <c r="C1163" i="13" s="1"/>
  <c r="C1164" i="13" s="1"/>
  <c r="C1165" i="13" s="1"/>
  <c r="C1166" i="13" s="1"/>
  <c r="C1167" i="13" s="1"/>
  <c r="C1168" i="13" s="1"/>
  <c r="N1127" i="13" s="1"/>
  <c r="L1134" i="13"/>
  <c r="L1126" i="13"/>
  <c r="P1120" i="13"/>
  <c r="O1120" i="13"/>
  <c r="O1112" i="13"/>
  <c r="M1112" i="13"/>
  <c r="O1111" i="13"/>
  <c r="M1111" i="13"/>
  <c r="O1110" i="13"/>
  <c r="M1110" i="13"/>
  <c r="O1109" i="13"/>
  <c r="M1109" i="13"/>
  <c r="O1108" i="13"/>
  <c r="M1108" i="13"/>
  <c r="O1107" i="13"/>
  <c r="M1107" i="13"/>
  <c r="O1106" i="13"/>
  <c r="M1106" i="13"/>
  <c r="O1105" i="13"/>
  <c r="M1105" i="13"/>
  <c r="O1104" i="13"/>
  <c r="M1104" i="13"/>
  <c r="O1103" i="13"/>
  <c r="M1103" i="13"/>
  <c r="O1102" i="13"/>
  <c r="M1102" i="13"/>
  <c r="O1101" i="13"/>
  <c r="M1101" i="13"/>
  <c r="O1100" i="13"/>
  <c r="M1100" i="13"/>
  <c r="O1099" i="13"/>
  <c r="M1099" i="13"/>
  <c r="O1098" i="13"/>
  <c r="M1098" i="13"/>
  <c r="O1097" i="13"/>
  <c r="M1097" i="13"/>
  <c r="O1096" i="13"/>
  <c r="M1096" i="13"/>
  <c r="O1095" i="13"/>
  <c r="M1095" i="13"/>
  <c r="O1094" i="13"/>
  <c r="M1094" i="13"/>
  <c r="O1093" i="13"/>
  <c r="M1093" i="13"/>
  <c r="O1092" i="13"/>
  <c r="M1092" i="13"/>
  <c r="O1091" i="13"/>
  <c r="M1091" i="13"/>
  <c r="O1090" i="13"/>
  <c r="M1090" i="13"/>
  <c r="O1089" i="13"/>
  <c r="M1089" i="13"/>
  <c r="O1088" i="13"/>
  <c r="M1088" i="13"/>
  <c r="O1087" i="13"/>
  <c r="M1087" i="13"/>
  <c r="O1086" i="13"/>
  <c r="M1086" i="13"/>
  <c r="O1085" i="13"/>
  <c r="M1085" i="13"/>
  <c r="O1084" i="13"/>
  <c r="M1084" i="13"/>
  <c r="O1083" i="13"/>
  <c r="M1083" i="13"/>
  <c r="O1082" i="13"/>
  <c r="M1082" i="13"/>
  <c r="O1081" i="13"/>
  <c r="M1081" i="13"/>
  <c r="O1080" i="13"/>
  <c r="M1080" i="13"/>
  <c r="O1079" i="13"/>
  <c r="M1079" i="13"/>
  <c r="O1078" i="13"/>
  <c r="M1078" i="13"/>
  <c r="O1077" i="13"/>
  <c r="M1077" i="13"/>
  <c r="O1076" i="13"/>
  <c r="M1076" i="13"/>
  <c r="O1075" i="13"/>
  <c r="M1075" i="13"/>
  <c r="O1074" i="13"/>
  <c r="M1074" i="13"/>
  <c r="O1073" i="13"/>
  <c r="M1073" i="13"/>
  <c r="O1072" i="13"/>
  <c r="M1072" i="13"/>
  <c r="O1071" i="13"/>
  <c r="M1071" i="13"/>
  <c r="O1070" i="13"/>
  <c r="M1070" i="13"/>
  <c r="O1069" i="13"/>
  <c r="M1069" i="13"/>
  <c r="O1068" i="13"/>
  <c r="M1068" i="13"/>
  <c r="O1067" i="13"/>
  <c r="M1067" i="13"/>
  <c r="O1066" i="13"/>
  <c r="M1066" i="13"/>
  <c r="O1065" i="13"/>
  <c r="M1065" i="13"/>
  <c r="O1064" i="13"/>
  <c r="M1064" i="13"/>
  <c r="D1053" i="13"/>
  <c r="C1053" i="13"/>
  <c r="C1054" i="13" s="1"/>
  <c r="C1055" i="13" s="1"/>
  <c r="C1056" i="13" s="1"/>
  <c r="C1057" i="13" s="1"/>
  <c r="C1058" i="13" s="1"/>
  <c r="C1059" i="13" s="1"/>
  <c r="C1060" i="13" s="1"/>
  <c r="C1061" i="13" s="1"/>
  <c r="C1062" i="13" s="1"/>
  <c r="C1063" i="13" s="1"/>
  <c r="C1064" i="13" s="1"/>
  <c r="C1065" i="13" s="1"/>
  <c r="C1066" i="13" s="1"/>
  <c r="C1067" i="13" s="1"/>
  <c r="C1068" i="13" s="1"/>
  <c r="C1069" i="13" s="1"/>
  <c r="C1070" i="13" s="1"/>
  <c r="C1071" i="13" s="1"/>
  <c r="C1072" i="13" s="1"/>
  <c r="C1073" i="13" s="1"/>
  <c r="C1074" i="13" s="1"/>
  <c r="C1075" i="13" s="1"/>
  <c r="C1076" i="13" s="1"/>
  <c r="C1077" i="13" s="1"/>
  <c r="C1078" i="13" s="1"/>
  <c r="C1079" i="13" s="1"/>
  <c r="C1080" i="13" s="1"/>
  <c r="C1081" i="13" s="1"/>
  <c r="C1082" i="13" s="1"/>
  <c r="L1048" i="13"/>
  <c r="L1040" i="13"/>
  <c r="P1034" i="13"/>
  <c r="O1034" i="13"/>
  <c r="O1026" i="13"/>
  <c r="M1026" i="13"/>
  <c r="O1025" i="13"/>
  <c r="M1025" i="13"/>
  <c r="O1024" i="13"/>
  <c r="M1024" i="13"/>
  <c r="O1023" i="13"/>
  <c r="M1023" i="13"/>
  <c r="O1022" i="13"/>
  <c r="M1022" i="13"/>
  <c r="O1021" i="13"/>
  <c r="M1021" i="13"/>
  <c r="O1020" i="13"/>
  <c r="M1020" i="13"/>
  <c r="O1019" i="13"/>
  <c r="M1019" i="13"/>
  <c r="O1018" i="13"/>
  <c r="M1018" i="13"/>
  <c r="O1017" i="13"/>
  <c r="M1017" i="13"/>
  <c r="O1016" i="13"/>
  <c r="M1016" i="13"/>
  <c r="O1015" i="13"/>
  <c r="M1015" i="13"/>
  <c r="O1014" i="13"/>
  <c r="M1014" i="13"/>
  <c r="O1013" i="13"/>
  <c r="M1013" i="13"/>
  <c r="O1012" i="13"/>
  <c r="M1012" i="13"/>
  <c r="O1011" i="13"/>
  <c r="M1011" i="13"/>
  <c r="O1010" i="13"/>
  <c r="M1010" i="13"/>
  <c r="O1009" i="13"/>
  <c r="M1009" i="13"/>
  <c r="O1008" i="13"/>
  <c r="M1008" i="13"/>
  <c r="O1007" i="13"/>
  <c r="M1007" i="13"/>
  <c r="O1006" i="13"/>
  <c r="M1006" i="13"/>
  <c r="O1005" i="13"/>
  <c r="M1005" i="13"/>
  <c r="O1004" i="13"/>
  <c r="M1004" i="13"/>
  <c r="O1003" i="13"/>
  <c r="M1003" i="13"/>
  <c r="O1002" i="13"/>
  <c r="M1002" i="13"/>
  <c r="O1001" i="13"/>
  <c r="M1001" i="13"/>
  <c r="O1000" i="13"/>
  <c r="M1000" i="13"/>
  <c r="O999" i="13"/>
  <c r="M999" i="13"/>
  <c r="O998" i="13"/>
  <c r="M998" i="13"/>
  <c r="O997" i="13"/>
  <c r="M997" i="13"/>
  <c r="O996" i="13"/>
  <c r="M996" i="13"/>
  <c r="O995" i="13"/>
  <c r="M995" i="13"/>
  <c r="O994" i="13"/>
  <c r="M994" i="13"/>
  <c r="O993" i="13"/>
  <c r="M993" i="13"/>
  <c r="O992" i="13"/>
  <c r="M992" i="13"/>
  <c r="O991" i="13"/>
  <c r="M991" i="13"/>
  <c r="O990" i="13"/>
  <c r="M990" i="13"/>
  <c r="O989" i="13"/>
  <c r="M989" i="13"/>
  <c r="O988" i="13"/>
  <c r="M988" i="13"/>
  <c r="O987" i="13"/>
  <c r="M987" i="13"/>
  <c r="O986" i="13"/>
  <c r="M986" i="13"/>
  <c r="O985" i="13"/>
  <c r="M985" i="13"/>
  <c r="O984" i="13"/>
  <c r="M984" i="13"/>
  <c r="O983" i="13"/>
  <c r="M983" i="13"/>
  <c r="O982" i="13"/>
  <c r="M982" i="13"/>
  <c r="O981" i="13"/>
  <c r="M981" i="13"/>
  <c r="O980" i="13"/>
  <c r="M980" i="13"/>
  <c r="O979" i="13"/>
  <c r="M979" i="13"/>
  <c r="O978" i="13"/>
  <c r="M978" i="13"/>
  <c r="O977" i="13"/>
  <c r="M977" i="13"/>
  <c r="O976" i="13"/>
  <c r="M976" i="13"/>
  <c r="O975" i="13"/>
  <c r="M975" i="13"/>
  <c r="O974" i="13"/>
  <c r="M974" i="13"/>
  <c r="O973" i="13"/>
  <c r="M973" i="13"/>
  <c r="D967" i="13"/>
  <c r="C967" i="13"/>
  <c r="C968" i="13" s="1"/>
  <c r="C969" i="13" s="1"/>
  <c r="C970" i="13" s="1"/>
  <c r="C971" i="13" s="1"/>
  <c r="C972" i="13" s="1"/>
  <c r="C973" i="13" s="1"/>
  <c r="C974" i="13" s="1"/>
  <c r="C975" i="13" s="1"/>
  <c r="C976" i="13" s="1"/>
  <c r="C977" i="13" s="1"/>
  <c r="C978" i="13" s="1"/>
  <c r="C979" i="13" s="1"/>
  <c r="C980" i="13" s="1"/>
  <c r="C981" i="13" s="1"/>
  <c r="C982" i="13" s="1"/>
  <c r="C983" i="13" s="1"/>
  <c r="C984" i="13" s="1"/>
  <c r="C985" i="13" s="1"/>
  <c r="C986" i="13" s="1"/>
  <c r="C987" i="13" s="1"/>
  <c r="C988" i="13" s="1"/>
  <c r="C989" i="13" s="1"/>
  <c r="C990" i="13" s="1"/>
  <c r="C991" i="13" s="1"/>
  <c r="C992" i="13" s="1"/>
  <c r="C993" i="13" s="1"/>
  <c r="C994" i="13" s="1"/>
  <c r="C995" i="13" s="1"/>
  <c r="C996" i="13" s="1"/>
  <c r="M955" i="13" s="1"/>
  <c r="L962" i="13"/>
  <c r="L954" i="13"/>
  <c r="P948" i="13"/>
  <c r="O948" i="13"/>
  <c r="O940" i="13"/>
  <c r="M940" i="13"/>
  <c r="O939" i="13"/>
  <c r="M939" i="13"/>
  <c r="O938" i="13"/>
  <c r="M938" i="13"/>
  <c r="O937" i="13"/>
  <c r="M937" i="13"/>
  <c r="O936" i="13"/>
  <c r="M936" i="13"/>
  <c r="O935" i="13"/>
  <c r="M935" i="13"/>
  <c r="O934" i="13"/>
  <c r="M934" i="13"/>
  <c r="O933" i="13"/>
  <c r="M933" i="13"/>
  <c r="O932" i="13"/>
  <c r="M932" i="13"/>
  <c r="O931" i="13"/>
  <c r="M931" i="13"/>
  <c r="O930" i="13"/>
  <c r="M930" i="13"/>
  <c r="O929" i="13"/>
  <c r="M929" i="13"/>
  <c r="O928" i="13"/>
  <c r="M928" i="13"/>
  <c r="O927" i="13"/>
  <c r="M927" i="13"/>
  <c r="O926" i="13"/>
  <c r="M926" i="13"/>
  <c r="O925" i="13"/>
  <c r="M925" i="13"/>
  <c r="O924" i="13"/>
  <c r="M924" i="13"/>
  <c r="O923" i="13"/>
  <c r="M923" i="13"/>
  <c r="O922" i="13"/>
  <c r="M922" i="13"/>
  <c r="O921" i="13"/>
  <c r="M921" i="13"/>
  <c r="O920" i="13"/>
  <c r="M920" i="13"/>
  <c r="O919" i="13"/>
  <c r="M919" i="13"/>
  <c r="O918" i="13"/>
  <c r="M918" i="13"/>
  <c r="O917" i="13"/>
  <c r="M917" i="13"/>
  <c r="O916" i="13"/>
  <c r="M916" i="13"/>
  <c r="O915" i="13"/>
  <c r="M915" i="13"/>
  <c r="O914" i="13"/>
  <c r="M914" i="13"/>
  <c r="O913" i="13"/>
  <c r="M913" i="13"/>
  <c r="O912" i="13"/>
  <c r="M912" i="13"/>
  <c r="O911" i="13"/>
  <c r="M911" i="13"/>
  <c r="O910" i="13"/>
  <c r="M910" i="13"/>
  <c r="O909" i="13"/>
  <c r="M909" i="13"/>
  <c r="O908" i="13"/>
  <c r="M908" i="13"/>
  <c r="O907" i="13"/>
  <c r="M907" i="13"/>
  <c r="O906" i="13"/>
  <c r="M906" i="13"/>
  <c r="O905" i="13"/>
  <c r="M905" i="13"/>
  <c r="O904" i="13"/>
  <c r="M904" i="13"/>
  <c r="O903" i="13"/>
  <c r="M903" i="13"/>
  <c r="O902" i="13"/>
  <c r="M902" i="13"/>
  <c r="O901" i="13"/>
  <c r="M901" i="13"/>
  <c r="O900" i="13"/>
  <c r="M900" i="13"/>
  <c r="O899" i="13"/>
  <c r="M899" i="13"/>
  <c r="O898" i="13"/>
  <c r="M898" i="13"/>
  <c r="O897" i="13"/>
  <c r="M897" i="13"/>
  <c r="O896" i="13"/>
  <c r="M896" i="13"/>
  <c r="O895" i="13"/>
  <c r="M895" i="13"/>
  <c r="O894" i="13"/>
  <c r="M894" i="13"/>
  <c r="D881" i="13"/>
  <c r="C881" i="13"/>
  <c r="C882" i="13" s="1"/>
  <c r="C883" i="13" s="1"/>
  <c r="C884" i="13" s="1"/>
  <c r="C885" i="13" s="1"/>
  <c r="C886" i="13" s="1"/>
  <c r="C887" i="13" s="1"/>
  <c r="C888" i="13" s="1"/>
  <c r="C889" i="13" s="1"/>
  <c r="C890" i="13" s="1"/>
  <c r="C891" i="13" s="1"/>
  <c r="C892" i="13" s="1"/>
  <c r="C893" i="13" s="1"/>
  <c r="C894" i="13" s="1"/>
  <c r="C895" i="13" s="1"/>
  <c r="C896" i="13" s="1"/>
  <c r="C897" i="13" s="1"/>
  <c r="C898" i="13" s="1"/>
  <c r="C899" i="13" s="1"/>
  <c r="C900" i="13" s="1"/>
  <c r="C901" i="13" s="1"/>
  <c r="C902" i="13" s="1"/>
  <c r="C903" i="13" s="1"/>
  <c r="C904" i="13" s="1"/>
  <c r="C905" i="13" s="1"/>
  <c r="C906" i="13" s="1"/>
  <c r="C907" i="13" s="1"/>
  <c r="C908" i="13" s="1"/>
  <c r="C909" i="13" s="1"/>
  <c r="C910" i="13" s="1"/>
  <c r="L876" i="13"/>
  <c r="L868" i="13"/>
  <c r="P862" i="13"/>
  <c r="O862" i="13"/>
  <c r="O854" i="13"/>
  <c r="M854" i="13"/>
  <c r="O853" i="13"/>
  <c r="M853" i="13"/>
  <c r="O852" i="13"/>
  <c r="M852" i="13"/>
  <c r="O851" i="13"/>
  <c r="M851" i="13"/>
  <c r="O850" i="13"/>
  <c r="M850" i="13"/>
  <c r="O849" i="13"/>
  <c r="M849" i="13"/>
  <c r="O848" i="13"/>
  <c r="M848" i="13"/>
  <c r="O847" i="13"/>
  <c r="M847" i="13"/>
  <c r="O846" i="13"/>
  <c r="M846" i="13"/>
  <c r="O845" i="13"/>
  <c r="M845" i="13"/>
  <c r="O844" i="13"/>
  <c r="M844" i="13"/>
  <c r="O843" i="13"/>
  <c r="M843" i="13"/>
  <c r="O842" i="13"/>
  <c r="M842" i="13"/>
  <c r="O841" i="13"/>
  <c r="M841" i="13"/>
  <c r="O840" i="13"/>
  <c r="M840" i="13"/>
  <c r="O839" i="13"/>
  <c r="M839" i="13"/>
  <c r="O838" i="13"/>
  <c r="M838" i="13"/>
  <c r="O837" i="13"/>
  <c r="M837" i="13"/>
  <c r="O836" i="13"/>
  <c r="M836" i="13"/>
  <c r="O835" i="13"/>
  <c r="M835" i="13"/>
  <c r="O834" i="13"/>
  <c r="M834" i="13"/>
  <c r="O833" i="13"/>
  <c r="M833" i="13"/>
  <c r="O832" i="13"/>
  <c r="M832" i="13"/>
  <c r="O831" i="13"/>
  <c r="M831" i="13"/>
  <c r="O830" i="13"/>
  <c r="M830" i="13"/>
  <c r="O829" i="13"/>
  <c r="M829" i="13"/>
  <c r="O828" i="13"/>
  <c r="M828" i="13"/>
  <c r="O827" i="13"/>
  <c r="M827" i="13"/>
  <c r="O826" i="13"/>
  <c r="M826" i="13"/>
  <c r="O825" i="13"/>
  <c r="M825" i="13"/>
  <c r="O824" i="13"/>
  <c r="M824" i="13"/>
  <c r="O823" i="13"/>
  <c r="M823" i="13"/>
  <c r="O822" i="13"/>
  <c r="M822" i="13"/>
  <c r="O821" i="13"/>
  <c r="M821" i="13"/>
  <c r="O820" i="13"/>
  <c r="M820" i="13"/>
  <c r="O819" i="13"/>
  <c r="M819" i="13"/>
  <c r="O818" i="13"/>
  <c r="M818" i="13"/>
  <c r="O817" i="13"/>
  <c r="M817" i="13"/>
  <c r="O816" i="13"/>
  <c r="M816" i="13"/>
  <c r="O815" i="13"/>
  <c r="M815" i="13"/>
  <c r="O814" i="13"/>
  <c r="M814" i="13"/>
  <c r="O813" i="13"/>
  <c r="M813" i="13"/>
  <c r="O812" i="13"/>
  <c r="M812" i="13"/>
  <c r="O811" i="13"/>
  <c r="M811" i="13"/>
  <c r="O810" i="13"/>
  <c r="M810" i="13"/>
  <c r="O809" i="13"/>
  <c r="M809" i="13"/>
  <c r="O808" i="13"/>
  <c r="M808" i="13"/>
  <c r="O807" i="13"/>
  <c r="M807" i="13"/>
  <c r="O806" i="13"/>
  <c r="M806" i="13"/>
  <c r="D795" i="13"/>
  <c r="C795" i="13"/>
  <c r="C796" i="13" s="1"/>
  <c r="C797" i="13" s="1"/>
  <c r="C798" i="13" s="1"/>
  <c r="C799" i="13" s="1"/>
  <c r="C800" i="13" s="1"/>
  <c r="C801" i="13" s="1"/>
  <c r="C802" i="13" s="1"/>
  <c r="C803" i="13" s="1"/>
  <c r="C804" i="13" s="1"/>
  <c r="C805" i="13" s="1"/>
  <c r="C806" i="13" s="1"/>
  <c r="C807" i="13" s="1"/>
  <c r="C808" i="13" s="1"/>
  <c r="C809" i="13" s="1"/>
  <c r="C810" i="13" s="1"/>
  <c r="C811" i="13" s="1"/>
  <c r="C812" i="13" s="1"/>
  <c r="C813" i="13" s="1"/>
  <c r="C814" i="13" s="1"/>
  <c r="C815" i="13" s="1"/>
  <c r="C816" i="13" s="1"/>
  <c r="C817" i="13" s="1"/>
  <c r="C818" i="13" s="1"/>
  <c r="C819" i="13" s="1"/>
  <c r="C820" i="13" s="1"/>
  <c r="C821" i="13" s="1"/>
  <c r="C822" i="13" s="1"/>
  <c r="C823" i="13" s="1"/>
  <c r="C824" i="13" s="1"/>
  <c r="L790" i="13"/>
  <c r="L782" i="13"/>
  <c r="O678" i="13"/>
  <c r="M678" i="13"/>
  <c r="O677" i="13"/>
  <c r="M677" i="13"/>
  <c r="O676" i="13"/>
  <c r="M676" i="13"/>
  <c r="O675" i="13"/>
  <c r="M675" i="13"/>
  <c r="O674" i="13"/>
  <c r="M674" i="13"/>
  <c r="O673" i="13"/>
  <c r="M673" i="13"/>
  <c r="O672" i="13"/>
  <c r="M672" i="13"/>
  <c r="O671" i="13"/>
  <c r="M671" i="13"/>
  <c r="O670" i="13"/>
  <c r="M670" i="13"/>
  <c r="O669" i="13"/>
  <c r="M669" i="13"/>
  <c r="O668" i="13"/>
  <c r="M668" i="13"/>
  <c r="O667" i="13"/>
  <c r="M667" i="13"/>
  <c r="O666" i="13"/>
  <c r="M666" i="13"/>
  <c r="O665" i="13"/>
  <c r="M665" i="13"/>
  <c r="O664" i="13"/>
  <c r="M664" i="13"/>
  <c r="O663" i="13"/>
  <c r="M663" i="13"/>
  <c r="O662" i="13"/>
  <c r="M662" i="13"/>
  <c r="O661" i="13"/>
  <c r="M661" i="13"/>
  <c r="O660" i="13"/>
  <c r="M660" i="13"/>
  <c r="O659" i="13"/>
  <c r="M659" i="13"/>
  <c r="O658" i="13"/>
  <c r="M658" i="13"/>
  <c r="O657" i="13"/>
  <c r="M657" i="13"/>
  <c r="O656" i="13"/>
  <c r="M656" i="13"/>
  <c r="O655" i="13"/>
  <c r="M655" i="13"/>
  <c r="O654" i="13"/>
  <c r="M654" i="13"/>
  <c r="O653" i="13"/>
  <c r="M653" i="13"/>
  <c r="O652" i="13"/>
  <c r="M652" i="13"/>
  <c r="O651" i="13"/>
  <c r="M651" i="13"/>
  <c r="O650" i="13"/>
  <c r="M650" i="13"/>
  <c r="O649" i="13"/>
  <c r="M649" i="13"/>
  <c r="O648" i="13"/>
  <c r="M648" i="13"/>
  <c r="O647" i="13"/>
  <c r="M647" i="13"/>
  <c r="O646" i="13"/>
  <c r="M646" i="13"/>
  <c r="O645" i="13"/>
  <c r="M645" i="13"/>
  <c r="O644" i="13"/>
  <c r="M644" i="13"/>
  <c r="O643" i="13"/>
  <c r="M643" i="13"/>
  <c r="O642" i="13"/>
  <c r="M642" i="13"/>
  <c r="O641" i="13"/>
  <c r="M641" i="13"/>
  <c r="O640" i="13"/>
  <c r="M640" i="13"/>
  <c r="O639" i="13"/>
  <c r="M639" i="13"/>
  <c r="O638" i="13"/>
  <c r="M638" i="13"/>
  <c r="O637" i="13"/>
  <c r="M637" i="13"/>
  <c r="O636" i="13"/>
  <c r="M636" i="13"/>
  <c r="O635" i="13"/>
  <c r="M635" i="13"/>
  <c r="O634" i="13"/>
  <c r="M634" i="13"/>
  <c r="O633" i="13"/>
  <c r="M633" i="13"/>
  <c r="O632" i="13"/>
  <c r="M632" i="13"/>
  <c r="D619" i="13"/>
  <c r="C619" i="13"/>
  <c r="C620" i="13" s="1"/>
  <c r="C621" i="13" s="1"/>
  <c r="C622" i="13" s="1"/>
  <c r="C623" i="13" s="1"/>
  <c r="C624" i="13" s="1"/>
  <c r="C625" i="13" s="1"/>
  <c r="C626" i="13" s="1"/>
  <c r="C627" i="13" s="1"/>
  <c r="C628" i="13" s="1"/>
  <c r="C629" i="13" s="1"/>
  <c r="C630" i="13" s="1"/>
  <c r="C631" i="13" s="1"/>
  <c r="C632" i="13" s="1"/>
  <c r="C633" i="13" s="1"/>
  <c r="C634" i="13" s="1"/>
  <c r="C635" i="13" s="1"/>
  <c r="C636" i="13" s="1"/>
  <c r="C637" i="13" s="1"/>
  <c r="C638" i="13" s="1"/>
  <c r="C639" i="13" s="1"/>
  <c r="C640" i="13" s="1"/>
  <c r="C641" i="13" s="1"/>
  <c r="C642" i="13" s="1"/>
  <c r="C643" i="13" s="1"/>
  <c r="C644" i="13" s="1"/>
  <c r="C645" i="13" s="1"/>
  <c r="C646" i="13" s="1"/>
  <c r="C647" i="13" s="1"/>
  <c r="C648" i="13" s="1"/>
  <c r="M607" i="13" s="1"/>
  <c r="L614" i="13"/>
  <c r="L606" i="13"/>
  <c r="P600" i="13"/>
  <c r="O600" i="13"/>
  <c r="O592" i="13"/>
  <c r="M592" i="13"/>
  <c r="O591" i="13"/>
  <c r="M591" i="13"/>
  <c r="O590" i="13"/>
  <c r="M590" i="13"/>
  <c r="O589" i="13"/>
  <c r="M589" i="13"/>
  <c r="O588" i="13"/>
  <c r="M588" i="13"/>
  <c r="O587" i="13"/>
  <c r="M587" i="13"/>
  <c r="O586" i="13"/>
  <c r="M586" i="13"/>
  <c r="O585" i="13"/>
  <c r="M585" i="13"/>
  <c r="O584" i="13"/>
  <c r="M584" i="13"/>
  <c r="O583" i="13"/>
  <c r="M583" i="13"/>
  <c r="O582" i="13"/>
  <c r="M582" i="13"/>
  <c r="O581" i="13"/>
  <c r="M581" i="13"/>
  <c r="O580" i="13"/>
  <c r="M580" i="13"/>
  <c r="O579" i="13"/>
  <c r="M579" i="13"/>
  <c r="O578" i="13"/>
  <c r="M578" i="13"/>
  <c r="O577" i="13"/>
  <c r="M577" i="13"/>
  <c r="O576" i="13"/>
  <c r="M576" i="13"/>
  <c r="O575" i="13"/>
  <c r="M575" i="13"/>
  <c r="O574" i="13"/>
  <c r="M574" i="13"/>
  <c r="O573" i="13"/>
  <c r="M573" i="13"/>
  <c r="O572" i="13"/>
  <c r="M572" i="13"/>
  <c r="O571" i="13"/>
  <c r="M571" i="13"/>
  <c r="O570" i="13"/>
  <c r="M570" i="13"/>
  <c r="O569" i="13"/>
  <c r="M569" i="13"/>
  <c r="O568" i="13"/>
  <c r="M568" i="13"/>
  <c r="O567" i="13"/>
  <c r="M567" i="13"/>
  <c r="O566" i="13"/>
  <c r="M566" i="13"/>
  <c r="O565" i="13"/>
  <c r="M565" i="13"/>
  <c r="O564" i="13"/>
  <c r="M564" i="13"/>
  <c r="O563" i="13"/>
  <c r="M563" i="13"/>
  <c r="O562" i="13"/>
  <c r="M562" i="13"/>
  <c r="O561" i="13"/>
  <c r="M561" i="13"/>
  <c r="O560" i="13"/>
  <c r="M560" i="13"/>
  <c r="O559" i="13"/>
  <c r="M559" i="13"/>
  <c r="O558" i="13"/>
  <c r="M558" i="13"/>
  <c r="O557" i="13"/>
  <c r="M557" i="13"/>
  <c r="O556" i="13"/>
  <c r="M556" i="13"/>
  <c r="O555" i="13"/>
  <c r="M555" i="13"/>
  <c r="O554" i="13"/>
  <c r="M554" i="13"/>
  <c r="O553" i="13"/>
  <c r="M553" i="13"/>
  <c r="O552" i="13"/>
  <c r="M552" i="13"/>
  <c r="O551" i="13"/>
  <c r="M551" i="13"/>
  <c r="O550" i="13"/>
  <c r="M550" i="13"/>
  <c r="O549" i="13"/>
  <c r="M549" i="13"/>
  <c r="O548" i="13"/>
  <c r="M548" i="13"/>
  <c r="O547" i="13"/>
  <c r="M547" i="13"/>
  <c r="O546" i="13"/>
  <c r="M546" i="13"/>
  <c r="O545" i="13"/>
  <c r="M545" i="13"/>
  <c r="O544" i="13"/>
  <c r="M544" i="13"/>
  <c r="O543" i="13"/>
  <c r="M543" i="13"/>
  <c r="D533" i="13"/>
  <c r="C533" i="13"/>
  <c r="C534" i="13" s="1"/>
  <c r="C535" i="13" s="1"/>
  <c r="C536" i="13" s="1"/>
  <c r="C537" i="13" s="1"/>
  <c r="C538" i="13" s="1"/>
  <c r="C539" i="13" s="1"/>
  <c r="C540" i="13" s="1"/>
  <c r="C541" i="13" s="1"/>
  <c r="C542" i="13" s="1"/>
  <c r="C543" i="13" s="1"/>
  <c r="C544" i="13" s="1"/>
  <c r="C545" i="13" s="1"/>
  <c r="C546" i="13" s="1"/>
  <c r="C547" i="13" s="1"/>
  <c r="C548" i="13" s="1"/>
  <c r="C549" i="13" s="1"/>
  <c r="C550" i="13" s="1"/>
  <c r="C551" i="13" s="1"/>
  <c r="C552" i="13" s="1"/>
  <c r="C553" i="13" s="1"/>
  <c r="C554" i="13" s="1"/>
  <c r="C555" i="13" s="1"/>
  <c r="C556" i="13" s="1"/>
  <c r="C557" i="13" s="1"/>
  <c r="C558" i="13" s="1"/>
  <c r="C559" i="13" s="1"/>
  <c r="C560" i="13" s="1"/>
  <c r="C561" i="13" s="1"/>
  <c r="C562" i="13" s="1"/>
  <c r="C563" i="13" s="1"/>
  <c r="C564" i="13" s="1"/>
  <c r="C565" i="13" s="1"/>
  <c r="C566" i="13" s="1"/>
  <c r="C567" i="13" s="1"/>
  <c r="C568" i="13" s="1"/>
  <c r="C569" i="13" s="1"/>
  <c r="C570" i="13" s="1"/>
  <c r="C571" i="13" s="1"/>
  <c r="C572" i="13" s="1"/>
  <c r="C573" i="13" s="1"/>
  <c r="C574" i="13" s="1"/>
  <c r="C575" i="13" s="1"/>
  <c r="C576" i="13" s="1"/>
  <c r="C577" i="13" s="1"/>
  <c r="C578" i="13" s="1"/>
  <c r="C579" i="13" s="1"/>
  <c r="C580" i="13" s="1"/>
  <c r="C581" i="13" s="1"/>
  <c r="C582" i="13" s="1"/>
  <c r="C583" i="13" s="1"/>
  <c r="C584" i="13" s="1"/>
  <c r="C585" i="13" s="1"/>
  <c r="C586" i="13" s="1"/>
  <c r="C587" i="13" s="1"/>
  <c r="C588" i="13" s="1"/>
  <c r="C589" i="13" s="1"/>
  <c r="C590" i="13" s="1"/>
  <c r="C591" i="13" s="1"/>
  <c r="C592" i="13" s="1"/>
  <c r="L528" i="13"/>
  <c r="L520" i="13"/>
  <c r="P514" i="13"/>
  <c r="O514" i="13"/>
  <c r="O506" i="13"/>
  <c r="M506" i="13"/>
  <c r="O505" i="13"/>
  <c r="M505" i="13"/>
  <c r="O504" i="13"/>
  <c r="M504" i="13"/>
  <c r="O503" i="13"/>
  <c r="M503" i="13"/>
  <c r="O502" i="13"/>
  <c r="M502" i="13"/>
  <c r="O501" i="13"/>
  <c r="M501" i="13"/>
  <c r="O500" i="13"/>
  <c r="M500" i="13"/>
  <c r="O499" i="13"/>
  <c r="M499" i="13"/>
  <c r="O498" i="13"/>
  <c r="M498" i="13"/>
  <c r="O497" i="13"/>
  <c r="M497" i="13"/>
  <c r="O496" i="13"/>
  <c r="M496" i="13"/>
  <c r="O495" i="13"/>
  <c r="M495" i="13"/>
  <c r="O494" i="13"/>
  <c r="M494" i="13"/>
  <c r="O493" i="13"/>
  <c r="M493" i="13"/>
  <c r="O492" i="13"/>
  <c r="M492" i="13"/>
  <c r="O491" i="13"/>
  <c r="M491" i="13"/>
  <c r="O490" i="13"/>
  <c r="M490" i="13"/>
  <c r="O489" i="13"/>
  <c r="M489" i="13"/>
  <c r="O488" i="13"/>
  <c r="M488" i="13"/>
  <c r="O487" i="13"/>
  <c r="M487" i="13"/>
  <c r="O486" i="13"/>
  <c r="M486" i="13"/>
  <c r="O485" i="13"/>
  <c r="M485" i="13"/>
  <c r="O484" i="13"/>
  <c r="M484" i="13"/>
  <c r="O483" i="13"/>
  <c r="M483" i="13"/>
  <c r="O482" i="13"/>
  <c r="M482" i="13"/>
  <c r="O481" i="13"/>
  <c r="M481" i="13"/>
  <c r="O480" i="13"/>
  <c r="M480" i="13"/>
  <c r="O479" i="13"/>
  <c r="M479" i="13"/>
  <c r="O478" i="13"/>
  <c r="M478" i="13"/>
  <c r="O477" i="13"/>
  <c r="M477" i="13"/>
  <c r="O476" i="13"/>
  <c r="M476" i="13"/>
  <c r="O475" i="13"/>
  <c r="M475" i="13"/>
  <c r="O474" i="13"/>
  <c r="M474" i="13"/>
  <c r="O473" i="13"/>
  <c r="M473" i="13"/>
  <c r="O472" i="13"/>
  <c r="M472" i="13"/>
  <c r="O471" i="13"/>
  <c r="M471" i="13"/>
  <c r="O470" i="13"/>
  <c r="M470" i="13"/>
  <c r="O469" i="13"/>
  <c r="M469" i="13"/>
  <c r="O468" i="13"/>
  <c r="M468" i="13"/>
  <c r="O467" i="13"/>
  <c r="M467" i="13"/>
  <c r="O466" i="13"/>
  <c r="M466" i="13"/>
  <c r="O465" i="13"/>
  <c r="M465" i="13"/>
  <c r="O464" i="13"/>
  <c r="M464" i="13"/>
  <c r="O463" i="13"/>
  <c r="M463" i="13"/>
  <c r="O462" i="13"/>
  <c r="M462" i="13"/>
  <c r="O461" i="13"/>
  <c r="M461" i="13"/>
  <c r="O460" i="13"/>
  <c r="M460" i="13"/>
  <c r="D447" i="13"/>
  <c r="C447" i="13"/>
  <c r="C448" i="13" s="1"/>
  <c r="C449" i="13" s="1"/>
  <c r="C450" i="13" s="1"/>
  <c r="C451" i="13" s="1"/>
  <c r="C452" i="13" s="1"/>
  <c r="C453" i="13" s="1"/>
  <c r="C454" i="13" s="1"/>
  <c r="C455" i="13" s="1"/>
  <c r="C456" i="13" s="1"/>
  <c r="C457" i="13" s="1"/>
  <c r="C458" i="13" s="1"/>
  <c r="C459" i="13" s="1"/>
  <c r="C460" i="13" s="1"/>
  <c r="C461" i="13" s="1"/>
  <c r="C462" i="13" s="1"/>
  <c r="C463" i="13" s="1"/>
  <c r="C464" i="13" s="1"/>
  <c r="C465" i="13" s="1"/>
  <c r="C466" i="13" s="1"/>
  <c r="C467" i="13" s="1"/>
  <c r="C468" i="13" s="1"/>
  <c r="C469" i="13" s="1"/>
  <c r="C470" i="13" s="1"/>
  <c r="C471" i="13" s="1"/>
  <c r="C472" i="13" s="1"/>
  <c r="C473" i="13" s="1"/>
  <c r="C474" i="13" s="1"/>
  <c r="C475" i="13" s="1"/>
  <c r="C476" i="13" s="1"/>
  <c r="L442" i="13"/>
  <c r="L434" i="13"/>
  <c r="P428" i="13"/>
  <c r="O428" i="13"/>
  <c r="O420" i="13"/>
  <c r="M420" i="13"/>
  <c r="O419" i="13"/>
  <c r="M419" i="13"/>
  <c r="O418" i="13"/>
  <c r="M418" i="13"/>
  <c r="O417" i="13"/>
  <c r="M417" i="13"/>
  <c r="O416" i="13"/>
  <c r="M416" i="13"/>
  <c r="O415" i="13"/>
  <c r="M415" i="13"/>
  <c r="O414" i="13"/>
  <c r="M414" i="13"/>
  <c r="O413" i="13"/>
  <c r="M413" i="13"/>
  <c r="O412" i="13"/>
  <c r="M412" i="13"/>
  <c r="O411" i="13"/>
  <c r="M411" i="13"/>
  <c r="O410" i="13"/>
  <c r="M410" i="13"/>
  <c r="O409" i="13"/>
  <c r="M409" i="13"/>
  <c r="O408" i="13"/>
  <c r="M408" i="13"/>
  <c r="O407" i="13"/>
  <c r="M407" i="13"/>
  <c r="O406" i="13"/>
  <c r="M406" i="13"/>
  <c r="O405" i="13"/>
  <c r="M405" i="13"/>
  <c r="O404" i="13"/>
  <c r="M404" i="13"/>
  <c r="O403" i="13"/>
  <c r="M403" i="13"/>
  <c r="O402" i="13"/>
  <c r="M402" i="13"/>
  <c r="O401" i="13"/>
  <c r="M401" i="13"/>
  <c r="O400" i="13"/>
  <c r="M400" i="13"/>
  <c r="O399" i="13"/>
  <c r="M399" i="13"/>
  <c r="O398" i="13"/>
  <c r="M398" i="13"/>
  <c r="O397" i="13"/>
  <c r="M397" i="13"/>
  <c r="O396" i="13"/>
  <c r="M396" i="13"/>
  <c r="O395" i="13"/>
  <c r="M395" i="13"/>
  <c r="O394" i="13"/>
  <c r="M394" i="13"/>
  <c r="O393" i="13"/>
  <c r="M393" i="13"/>
  <c r="O392" i="13"/>
  <c r="M392" i="13"/>
  <c r="O391" i="13"/>
  <c r="M391" i="13"/>
  <c r="O390" i="13"/>
  <c r="M390" i="13"/>
  <c r="O389" i="13"/>
  <c r="M389" i="13"/>
  <c r="O388" i="13"/>
  <c r="M388" i="13"/>
  <c r="O387" i="13"/>
  <c r="M387" i="13"/>
  <c r="O386" i="13"/>
  <c r="M386" i="13"/>
  <c r="O385" i="13"/>
  <c r="M385" i="13"/>
  <c r="O384" i="13"/>
  <c r="M384" i="13"/>
  <c r="O383" i="13"/>
  <c r="M383" i="13"/>
  <c r="O382" i="13"/>
  <c r="M382" i="13"/>
  <c r="O381" i="13"/>
  <c r="M381" i="13"/>
  <c r="O380" i="13"/>
  <c r="M380" i="13"/>
  <c r="O379" i="13"/>
  <c r="M379" i="13"/>
  <c r="O378" i="13"/>
  <c r="M378" i="13"/>
  <c r="O377" i="13"/>
  <c r="M377" i="13"/>
  <c r="O376" i="13"/>
  <c r="M376" i="13"/>
  <c r="O375" i="13"/>
  <c r="M375" i="13"/>
  <c r="O374" i="13"/>
  <c r="M374" i="13"/>
  <c r="D361" i="13"/>
  <c r="C361" i="13"/>
  <c r="C362" i="13" s="1"/>
  <c r="C363" i="13" s="1"/>
  <c r="C364" i="13" s="1"/>
  <c r="C365" i="13" s="1"/>
  <c r="C366" i="13" s="1"/>
  <c r="C367" i="13" s="1"/>
  <c r="C368" i="13" s="1"/>
  <c r="C369" i="13" s="1"/>
  <c r="C370" i="13" s="1"/>
  <c r="C371" i="13" s="1"/>
  <c r="C372" i="13" s="1"/>
  <c r="C373" i="13" s="1"/>
  <c r="C374" i="13" s="1"/>
  <c r="C375" i="13" s="1"/>
  <c r="C376" i="13" s="1"/>
  <c r="C377" i="13" s="1"/>
  <c r="C378" i="13" s="1"/>
  <c r="C379" i="13" s="1"/>
  <c r="C380" i="13" s="1"/>
  <c r="C381" i="13" s="1"/>
  <c r="C382" i="13" s="1"/>
  <c r="C383" i="13" s="1"/>
  <c r="C384" i="13" s="1"/>
  <c r="C385" i="13" s="1"/>
  <c r="C386" i="13" s="1"/>
  <c r="C387" i="13" s="1"/>
  <c r="C388" i="13" s="1"/>
  <c r="C389" i="13" s="1"/>
  <c r="C390" i="13" s="1"/>
  <c r="L356" i="13"/>
  <c r="L348" i="13"/>
  <c r="P342" i="13"/>
  <c r="O342" i="13"/>
  <c r="O334" i="13"/>
  <c r="M334" i="13"/>
  <c r="O333" i="13"/>
  <c r="M333" i="13"/>
  <c r="O332" i="13"/>
  <c r="M332" i="13"/>
  <c r="O331" i="13"/>
  <c r="M331" i="13"/>
  <c r="O330" i="13"/>
  <c r="M330" i="13"/>
  <c r="O329" i="13"/>
  <c r="M329" i="13"/>
  <c r="O328" i="13"/>
  <c r="M328" i="13"/>
  <c r="O327" i="13"/>
  <c r="M327" i="13"/>
  <c r="O326" i="13"/>
  <c r="M326" i="13"/>
  <c r="O325" i="13"/>
  <c r="M325" i="13"/>
  <c r="O324" i="13"/>
  <c r="M324" i="13"/>
  <c r="O323" i="13"/>
  <c r="M323" i="13"/>
  <c r="O322" i="13"/>
  <c r="M322" i="13"/>
  <c r="O321" i="13"/>
  <c r="M321" i="13"/>
  <c r="O320" i="13"/>
  <c r="M320" i="13"/>
  <c r="O319" i="13"/>
  <c r="M319" i="13"/>
  <c r="O318" i="13"/>
  <c r="M318" i="13"/>
  <c r="O317" i="13"/>
  <c r="M317" i="13"/>
  <c r="O316" i="13"/>
  <c r="M316" i="13"/>
  <c r="O315" i="13"/>
  <c r="M315" i="13"/>
  <c r="O314" i="13"/>
  <c r="M314" i="13"/>
  <c r="O313" i="13"/>
  <c r="M313" i="13"/>
  <c r="O312" i="13"/>
  <c r="M312" i="13"/>
  <c r="O311" i="13"/>
  <c r="M311" i="13"/>
  <c r="O310" i="13"/>
  <c r="M310" i="13"/>
  <c r="O309" i="13"/>
  <c r="M309" i="13"/>
  <c r="O308" i="13"/>
  <c r="M308" i="13"/>
  <c r="O307" i="13"/>
  <c r="M307" i="13"/>
  <c r="O306" i="13"/>
  <c r="M306" i="13"/>
  <c r="O305" i="13"/>
  <c r="M305" i="13"/>
  <c r="O304" i="13"/>
  <c r="M304" i="13"/>
  <c r="O303" i="13"/>
  <c r="M303" i="13"/>
  <c r="O302" i="13"/>
  <c r="M302" i="13"/>
  <c r="O301" i="13"/>
  <c r="M301" i="13"/>
  <c r="O300" i="13"/>
  <c r="M300" i="13"/>
  <c r="O299" i="13"/>
  <c r="M299" i="13"/>
  <c r="O298" i="13"/>
  <c r="M298" i="13"/>
  <c r="O297" i="13"/>
  <c r="M297" i="13"/>
  <c r="O296" i="13"/>
  <c r="M296" i="13"/>
  <c r="O295" i="13"/>
  <c r="M295" i="13"/>
  <c r="O294" i="13"/>
  <c r="M294" i="13"/>
  <c r="O293" i="13"/>
  <c r="M293" i="13"/>
  <c r="O292" i="13"/>
  <c r="M292" i="13"/>
  <c r="O291" i="13"/>
  <c r="M291" i="13"/>
  <c r="O290" i="13"/>
  <c r="M290" i="13"/>
  <c r="O289" i="13"/>
  <c r="M289" i="13"/>
  <c r="O288" i="13"/>
  <c r="M288" i="13"/>
  <c r="D275" i="13"/>
  <c r="C275" i="13"/>
  <c r="C276" i="13" s="1"/>
  <c r="C277" i="13" s="1"/>
  <c r="C278" i="13" s="1"/>
  <c r="C279" i="13" s="1"/>
  <c r="C280" i="13" s="1"/>
  <c r="C281" i="13" s="1"/>
  <c r="C282" i="13" s="1"/>
  <c r="C283" i="13" s="1"/>
  <c r="C284" i="13" s="1"/>
  <c r="C285" i="13" s="1"/>
  <c r="C286" i="13" s="1"/>
  <c r="C287" i="13" s="1"/>
  <c r="C288" i="13" s="1"/>
  <c r="C289" i="13" s="1"/>
  <c r="C290" i="13" s="1"/>
  <c r="C291" i="13" s="1"/>
  <c r="C292" i="13" s="1"/>
  <c r="C293" i="13" s="1"/>
  <c r="C294" i="13" s="1"/>
  <c r="C295" i="13" s="1"/>
  <c r="C296" i="13" s="1"/>
  <c r="C297" i="13" s="1"/>
  <c r="C298" i="13" s="1"/>
  <c r="C299" i="13" s="1"/>
  <c r="C300" i="13" s="1"/>
  <c r="C301" i="13" s="1"/>
  <c r="C302" i="13" s="1"/>
  <c r="C303" i="13" s="1"/>
  <c r="C304" i="13" s="1"/>
  <c r="L270" i="13"/>
  <c r="L262" i="13"/>
  <c r="P256" i="13"/>
  <c r="O256" i="13"/>
  <c r="O248" i="13"/>
  <c r="M248" i="13"/>
  <c r="O247" i="13"/>
  <c r="M247" i="13"/>
  <c r="O246" i="13"/>
  <c r="M246" i="13"/>
  <c r="O245" i="13"/>
  <c r="M245" i="13"/>
  <c r="O244" i="13"/>
  <c r="M244" i="13"/>
  <c r="O243" i="13"/>
  <c r="M243" i="13"/>
  <c r="O242" i="13"/>
  <c r="M242" i="13"/>
  <c r="O241" i="13"/>
  <c r="M241" i="13"/>
  <c r="O240" i="13"/>
  <c r="M240" i="13"/>
  <c r="O239" i="13"/>
  <c r="M239" i="13"/>
  <c r="O238" i="13"/>
  <c r="M238" i="13"/>
  <c r="O237" i="13"/>
  <c r="M237" i="13"/>
  <c r="O236" i="13"/>
  <c r="M236" i="13"/>
  <c r="O235" i="13"/>
  <c r="M235" i="13"/>
  <c r="O234" i="13"/>
  <c r="M234" i="13"/>
  <c r="O233" i="13"/>
  <c r="M233" i="13"/>
  <c r="O232" i="13"/>
  <c r="M232" i="13"/>
  <c r="O231" i="13"/>
  <c r="M231" i="13"/>
  <c r="O230" i="13"/>
  <c r="M230" i="13"/>
  <c r="O229" i="13"/>
  <c r="M229" i="13"/>
  <c r="O228" i="13"/>
  <c r="M228" i="13"/>
  <c r="O227" i="13"/>
  <c r="M227" i="13"/>
  <c r="O226" i="13"/>
  <c r="M226" i="13"/>
  <c r="O225" i="13"/>
  <c r="M225" i="13"/>
  <c r="O224" i="13"/>
  <c r="M224" i="13"/>
  <c r="O223" i="13"/>
  <c r="M223" i="13"/>
  <c r="O222" i="13"/>
  <c r="M222" i="13"/>
  <c r="O221" i="13"/>
  <c r="M221" i="13"/>
  <c r="O220" i="13"/>
  <c r="M220" i="13"/>
  <c r="O219" i="13"/>
  <c r="M219" i="13"/>
  <c r="O218" i="13"/>
  <c r="M218" i="13"/>
  <c r="O217" i="13"/>
  <c r="M217" i="13"/>
  <c r="O216" i="13"/>
  <c r="M216" i="13"/>
  <c r="O215" i="13"/>
  <c r="M215" i="13"/>
  <c r="O214" i="13"/>
  <c r="M214" i="13"/>
  <c r="O213" i="13"/>
  <c r="M213" i="13"/>
  <c r="O212" i="13"/>
  <c r="M212" i="13"/>
  <c r="O211" i="13"/>
  <c r="M211" i="13"/>
  <c r="O210" i="13"/>
  <c r="M210" i="13"/>
  <c r="O209" i="13"/>
  <c r="M209" i="13"/>
  <c r="O208" i="13"/>
  <c r="M208" i="13"/>
  <c r="O207" i="13"/>
  <c r="M207" i="13"/>
  <c r="O206" i="13"/>
  <c r="M206" i="13"/>
  <c r="O205" i="13"/>
  <c r="M205" i="13"/>
  <c r="O204" i="13"/>
  <c r="M204" i="13"/>
  <c r="O203" i="13"/>
  <c r="M203" i="13"/>
  <c r="D189" i="13"/>
  <c r="C189" i="13"/>
  <c r="C190" i="13" s="1"/>
  <c r="C191" i="13" s="1"/>
  <c r="C192" i="13" s="1"/>
  <c r="C193" i="13" s="1"/>
  <c r="C194" i="13" s="1"/>
  <c r="C195" i="13" s="1"/>
  <c r="C196" i="13" s="1"/>
  <c r="C197" i="13" s="1"/>
  <c r="C198" i="13" s="1"/>
  <c r="C199" i="13" s="1"/>
  <c r="C200" i="13" s="1"/>
  <c r="C201" i="13" s="1"/>
  <c r="C202" i="13" s="1"/>
  <c r="C203" i="13" s="1"/>
  <c r="C204" i="13" s="1"/>
  <c r="C205" i="13" s="1"/>
  <c r="C206" i="13" s="1"/>
  <c r="C207" i="13" s="1"/>
  <c r="C208" i="13" s="1"/>
  <c r="C209" i="13" s="1"/>
  <c r="C210" i="13" s="1"/>
  <c r="C211" i="13" s="1"/>
  <c r="C212" i="13" s="1"/>
  <c r="C213" i="13" s="1"/>
  <c r="C214" i="13" s="1"/>
  <c r="C215" i="13" s="1"/>
  <c r="C216" i="13" s="1"/>
  <c r="C217" i="13" s="1"/>
  <c r="C218" i="13" s="1"/>
  <c r="M177" i="13" s="1"/>
  <c r="L184" i="13"/>
  <c r="L176" i="13"/>
  <c r="P170" i="13"/>
  <c r="O170" i="13"/>
  <c r="G160" i="2"/>
  <c r="D1973" i="20"/>
  <c r="C1973" i="20"/>
  <c r="C1974" i="20" s="1"/>
  <c r="C1975" i="20" s="1"/>
  <c r="C1976" i="20" s="1"/>
  <c r="C1977" i="20" s="1"/>
  <c r="C1978" i="20" s="1"/>
  <c r="C1979" i="20" s="1"/>
  <c r="C1980" i="20" s="1"/>
  <c r="C1981" i="20" s="1"/>
  <c r="C1982" i="20" s="1"/>
  <c r="C1983" i="20" s="1"/>
  <c r="C1984" i="20" s="1"/>
  <c r="C1985" i="20" s="1"/>
  <c r="C1986" i="20" s="1"/>
  <c r="C1987" i="20" s="1"/>
  <c r="C1988" i="20" s="1"/>
  <c r="C1989" i="20" s="1"/>
  <c r="C1990" i="20" s="1"/>
  <c r="C1991" i="20" s="1"/>
  <c r="C1992" i="20" s="1"/>
  <c r="C1993" i="20" s="1"/>
  <c r="C1994" i="20" s="1"/>
  <c r="C1995" i="20" s="1"/>
  <c r="C1996" i="20" s="1"/>
  <c r="C1997" i="20" s="1"/>
  <c r="C1998" i="20" s="1"/>
  <c r="C1999" i="20" s="1"/>
  <c r="C2000" i="20" s="1"/>
  <c r="C2001" i="20" s="1"/>
  <c r="C2002" i="20" s="1"/>
  <c r="C2003" i="20" s="1"/>
  <c r="C2004" i="20" s="1"/>
  <c r="C2005" i="20" s="1"/>
  <c r="C2006" i="20" s="1"/>
  <c r="C2007" i="20" s="1"/>
  <c r="C2008" i="20" s="1"/>
  <c r="C2009" i="20" s="1"/>
  <c r="C2010" i="20" s="1"/>
  <c r="C2011" i="20" s="1"/>
  <c r="C2012" i="20" s="1"/>
  <c r="C2013" i="20" s="1"/>
  <c r="C2014" i="20" s="1"/>
  <c r="C2015" i="20" s="1"/>
  <c r="C2016" i="20" s="1"/>
  <c r="C2017" i="20" s="1"/>
  <c r="C2018" i="20" s="1"/>
  <c r="C2019" i="20" s="1"/>
  <c r="C2020" i="20" s="1"/>
  <c r="C2021" i="20" s="1"/>
  <c r="C2022" i="20" s="1"/>
  <c r="C2023" i="20" s="1"/>
  <c r="C2024" i="20" s="1"/>
  <c r="C2025" i="20" s="1"/>
  <c r="C2026" i="20" s="1"/>
  <c r="C2027" i="20" s="1"/>
  <c r="C2028" i="20" s="1"/>
  <c r="C2029" i="20" s="1"/>
  <c r="C2030" i="20" s="1"/>
  <c r="C2031" i="20" s="1"/>
  <c r="C2032" i="20" s="1"/>
  <c r="K1968" i="20"/>
  <c r="I1967" i="20"/>
  <c r="O1954" i="20"/>
  <c r="N1954" i="20"/>
  <c r="D1884" i="20"/>
  <c r="C1884" i="20"/>
  <c r="C1885" i="20" s="1"/>
  <c r="C1886" i="20" s="1"/>
  <c r="C1887" i="20" s="1"/>
  <c r="C1888" i="20" s="1"/>
  <c r="C1889" i="20" s="1"/>
  <c r="C1890" i="20" s="1"/>
  <c r="C1891" i="20" s="1"/>
  <c r="C1892" i="20" s="1"/>
  <c r="C1893" i="20" s="1"/>
  <c r="C1894" i="20" s="1"/>
  <c r="C1895" i="20" s="1"/>
  <c r="C1896" i="20" s="1"/>
  <c r="C1897" i="20" s="1"/>
  <c r="C1898" i="20" s="1"/>
  <c r="C1899" i="20" s="1"/>
  <c r="C1900" i="20" s="1"/>
  <c r="C1901" i="20" s="1"/>
  <c r="C1902" i="20" s="1"/>
  <c r="C1903" i="20" s="1"/>
  <c r="C1904" i="20" s="1"/>
  <c r="C1905" i="20" s="1"/>
  <c r="C1906" i="20" s="1"/>
  <c r="C1907" i="20" s="1"/>
  <c r="C1908" i="20" s="1"/>
  <c r="C1909" i="20" s="1"/>
  <c r="C1910" i="20" s="1"/>
  <c r="C1911" i="20" s="1"/>
  <c r="C1912" i="20" s="1"/>
  <c r="C1913" i="20" s="1"/>
  <c r="C1914" i="20" s="1"/>
  <c r="C1915" i="20" s="1"/>
  <c r="C1916" i="20" s="1"/>
  <c r="C1917" i="20" s="1"/>
  <c r="C1918" i="20" s="1"/>
  <c r="C1919" i="20" s="1"/>
  <c r="C1920" i="20" s="1"/>
  <c r="C1921" i="20" s="1"/>
  <c r="C1922" i="20" s="1"/>
  <c r="C1923" i="20" s="1"/>
  <c r="C1924" i="20" s="1"/>
  <c r="C1925" i="20" s="1"/>
  <c r="C1926" i="20" s="1"/>
  <c r="C1927" i="20" s="1"/>
  <c r="C1928" i="20" s="1"/>
  <c r="C1929" i="20" s="1"/>
  <c r="C1930" i="20" s="1"/>
  <c r="C1931" i="20" s="1"/>
  <c r="C1932" i="20" s="1"/>
  <c r="C1933" i="20" s="1"/>
  <c r="C1934" i="20" s="1"/>
  <c r="C1935" i="20" s="1"/>
  <c r="C1936" i="20" s="1"/>
  <c r="C1937" i="20" s="1"/>
  <c r="C1938" i="20" s="1"/>
  <c r="C1939" i="20" s="1"/>
  <c r="C1940" i="20" s="1"/>
  <c r="C1941" i="20" s="1"/>
  <c r="C1942" i="20" s="1"/>
  <c r="C1943" i="20" s="1"/>
  <c r="K1879" i="20"/>
  <c r="I1878" i="20"/>
  <c r="O1865" i="20"/>
  <c r="N1865" i="20"/>
  <c r="C1795" i="20"/>
  <c r="C1796" i="20" s="1"/>
  <c r="C1797" i="20" s="1"/>
  <c r="C1798" i="20" s="1"/>
  <c r="C1799" i="20" s="1"/>
  <c r="C1800" i="20" s="1"/>
  <c r="C1801" i="20" s="1"/>
  <c r="C1802" i="20" s="1"/>
  <c r="C1803" i="20" s="1"/>
  <c r="C1804" i="20" s="1"/>
  <c r="C1805" i="20" s="1"/>
  <c r="C1806" i="20" s="1"/>
  <c r="C1807" i="20" s="1"/>
  <c r="C1808" i="20" s="1"/>
  <c r="C1809" i="20" s="1"/>
  <c r="C1810" i="20" s="1"/>
  <c r="C1811" i="20" s="1"/>
  <c r="C1812" i="20" s="1"/>
  <c r="C1813" i="20" s="1"/>
  <c r="C1814" i="20" s="1"/>
  <c r="C1815" i="20" s="1"/>
  <c r="C1816" i="20" s="1"/>
  <c r="C1817" i="20" s="1"/>
  <c r="C1818" i="20" s="1"/>
  <c r="C1819" i="20" s="1"/>
  <c r="C1820" i="20" s="1"/>
  <c r="C1821" i="20" s="1"/>
  <c r="C1822" i="20" s="1"/>
  <c r="C1823" i="20" s="1"/>
  <c r="C1824" i="20" s="1"/>
  <c r="C1825" i="20" s="1"/>
  <c r="C1826" i="20" s="1"/>
  <c r="C1827" i="20" s="1"/>
  <c r="C1828" i="20" s="1"/>
  <c r="C1829" i="20" s="1"/>
  <c r="C1830" i="20" s="1"/>
  <c r="C1831" i="20" s="1"/>
  <c r="C1832" i="20" s="1"/>
  <c r="C1833" i="20" s="1"/>
  <c r="C1834" i="20" s="1"/>
  <c r="C1835" i="20" s="1"/>
  <c r="C1836" i="20" s="1"/>
  <c r="C1837" i="20" s="1"/>
  <c r="C1838" i="20" s="1"/>
  <c r="C1839" i="20" s="1"/>
  <c r="C1840" i="20" s="1"/>
  <c r="C1841" i="20" s="1"/>
  <c r="C1842" i="20" s="1"/>
  <c r="C1843" i="20" s="1"/>
  <c r="C1844" i="20" s="1"/>
  <c r="C1845" i="20" s="1"/>
  <c r="C1846" i="20" s="1"/>
  <c r="C1847" i="20" s="1"/>
  <c r="C1848" i="20" s="1"/>
  <c r="C1849" i="20" s="1"/>
  <c r="C1850" i="20" s="1"/>
  <c r="C1851" i="20" s="1"/>
  <c r="C1852" i="20" s="1"/>
  <c r="C1853" i="20" s="1"/>
  <c r="C1854" i="20" s="1"/>
  <c r="K1790" i="20"/>
  <c r="I1789" i="20"/>
  <c r="D1788" i="20"/>
  <c r="D1795" i="20" s="1"/>
  <c r="O1776" i="20"/>
  <c r="N1776" i="20"/>
  <c r="D1705" i="20"/>
  <c r="C1705" i="20"/>
  <c r="C1706" i="20" s="1"/>
  <c r="C1707" i="20" s="1"/>
  <c r="C1708" i="20" s="1"/>
  <c r="C1709" i="20" s="1"/>
  <c r="C1710" i="20" s="1"/>
  <c r="C1711" i="20" s="1"/>
  <c r="C1712" i="20" s="1"/>
  <c r="C1713" i="20" s="1"/>
  <c r="C1714" i="20" s="1"/>
  <c r="C1715" i="20" s="1"/>
  <c r="C1716" i="20" s="1"/>
  <c r="C1717" i="20" s="1"/>
  <c r="C1718" i="20" s="1"/>
  <c r="C1719" i="20" s="1"/>
  <c r="C1720" i="20" s="1"/>
  <c r="C1721" i="20" s="1"/>
  <c r="C1722" i="20" s="1"/>
  <c r="C1723" i="20" s="1"/>
  <c r="C1724" i="20" s="1"/>
  <c r="C1725" i="20" s="1"/>
  <c r="C1726" i="20" s="1"/>
  <c r="C1727" i="20" s="1"/>
  <c r="C1728" i="20" s="1"/>
  <c r="C1729" i="20" s="1"/>
  <c r="C1730" i="20" s="1"/>
  <c r="C1731" i="20" s="1"/>
  <c r="C1732" i="20" s="1"/>
  <c r="C1733" i="20" s="1"/>
  <c r="C1734" i="20" s="1"/>
  <c r="C1735" i="20" s="1"/>
  <c r="C1736" i="20" s="1"/>
  <c r="C1737" i="20" s="1"/>
  <c r="C1738" i="20" s="1"/>
  <c r="C1739" i="20" s="1"/>
  <c r="C1740" i="20" s="1"/>
  <c r="C1741" i="20" s="1"/>
  <c r="C1742" i="20" s="1"/>
  <c r="C1743" i="20" s="1"/>
  <c r="C1744" i="20" s="1"/>
  <c r="C1745" i="20" s="1"/>
  <c r="C1746" i="20" s="1"/>
  <c r="C1747" i="20" s="1"/>
  <c r="C1748" i="20" s="1"/>
  <c r="C1749" i="20" s="1"/>
  <c r="C1750" i="20" s="1"/>
  <c r="C1751" i="20" s="1"/>
  <c r="C1752" i="20" s="1"/>
  <c r="C1753" i="20" s="1"/>
  <c r="C1754" i="20" s="1"/>
  <c r="C1755" i="20" s="1"/>
  <c r="C1756" i="20" s="1"/>
  <c r="C1757" i="20" s="1"/>
  <c r="C1758" i="20" s="1"/>
  <c r="C1759" i="20" s="1"/>
  <c r="C1760" i="20" s="1"/>
  <c r="C1761" i="20" s="1"/>
  <c r="C1762" i="20" s="1"/>
  <c r="C1763" i="20" s="1"/>
  <c r="C1764" i="20" s="1"/>
  <c r="I1702" i="20"/>
  <c r="E1705" i="20" s="1"/>
  <c r="K1700" i="20"/>
  <c r="I1699" i="20"/>
  <c r="O1686" i="20"/>
  <c r="N1686" i="20"/>
  <c r="D1616" i="20"/>
  <c r="C1616" i="20"/>
  <c r="C1617" i="20" s="1"/>
  <c r="C1618" i="20" s="1"/>
  <c r="C1619" i="20" s="1"/>
  <c r="C1620" i="20" s="1"/>
  <c r="C1621" i="20" s="1"/>
  <c r="C1622" i="20" s="1"/>
  <c r="C1623" i="20" s="1"/>
  <c r="C1624" i="20" s="1"/>
  <c r="C1625" i="20" s="1"/>
  <c r="C1626" i="20" s="1"/>
  <c r="C1627" i="20" s="1"/>
  <c r="C1628" i="20" s="1"/>
  <c r="C1629" i="20" s="1"/>
  <c r="C1630" i="20" s="1"/>
  <c r="C1631" i="20" s="1"/>
  <c r="C1632" i="20" s="1"/>
  <c r="C1633" i="20" s="1"/>
  <c r="C1634" i="20" s="1"/>
  <c r="C1635" i="20" s="1"/>
  <c r="C1636" i="20" s="1"/>
  <c r="C1637" i="20" s="1"/>
  <c r="C1638" i="20" s="1"/>
  <c r="C1639" i="20" s="1"/>
  <c r="C1640" i="20" s="1"/>
  <c r="C1641" i="20" s="1"/>
  <c r="C1642" i="20" s="1"/>
  <c r="C1643" i="20" s="1"/>
  <c r="C1644" i="20" s="1"/>
  <c r="C1645" i="20" s="1"/>
  <c r="C1646" i="20" s="1"/>
  <c r="C1647" i="20" s="1"/>
  <c r="C1648" i="20" s="1"/>
  <c r="C1649" i="20" s="1"/>
  <c r="C1650" i="20" s="1"/>
  <c r="C1651" i="20" s="1"/>
  <c r="C1652" i="20" s="1"/>
  <c r="C1653" i="20" s="1"/>
  <c r="C1654" i="20" s="1"/>
  <c r="C1655" i="20" s="1"/>
  <c r="C1656" i="20" s="1"/>
  <c r="C1657" i="20" s="1"/>
  <c r="C1658" i="20" s="1"/>
  <c r="C1659" i="20" s="1"/>
  <c r="C1660" i="20" s="1"/>
  <c r="C1661" i="20" s="1"/>
  <c r="C1662" i="20" s="1"/>
  <c r="C1663" i="20" s="1"/>
  <c r="C1664" i="20" s="1"/>
  <c r="C1665" i="20" s="1"/>
  <c r="C1666" i="20" s="1"/>
  <c r="C1667" i="20" s="1"/>
  <c r="C1668" i="20" s="1"/>
  <c r="C1669" i="20" s="1"/>
  <c r="C1670" i="20" s="1"/>
  <c r="C1671" i="20" s="1"/>
  <c r="C1672" i="20" s="1"/>
  <c r="C1673" i="20" s="1"/>
  <c r="C1674" i="20" s="1"/>
  <c r="C1675" i="20" s="1"/>
  <c r="K1611" i="20"/>
  <c r="I1610" i="20"/>
  <c r="O1597" i="20"/>
  <c r="N1597" i="20"/>
  <c r="D1527" i="20"/>
  <c r="C1527" i="20"/>
  <c r="C1528" i="20" s="1"/>
  <c r="C1529" i="20" s="1"/>
  <c r="C1530" i="20" s="1"/>
  <c r="C1531" i="20" s="1"/>
  <c r="C1532" i="20" s="1"/>
  <c r="C1533" i="20" s="1"/>
  <c r="C1534" i="20" s="1"/>
  <c r="C1535" i="20" s="1"/>
  <c r="C1536" i="20" s="1"/>
  <c r="C1537" i="20" s="1"/>
  <c r="C1538" i="20" s="1"/>
  <c r="C1539" i="20" s="1"/>
  <c r="C1540" i="20" s="1"/>
  <c r="C1541" i="20" s="1"/>
  <c r="C1542" i="20" s="1"/>
  <c r="C1543" i="20" s="1"/>
  <c r="C1544" i="20" s="1"/>
  <c r="C1545" i="20" s="1"/>
  <c r="C1546" i="20" s="1"/>
  <c r="C1547" i="20" s="1"/>
  <c r="C1548" i="20" s="1"/>
  <c r="C1549" i="20" s="1"/>
  <c r="C1550" i="20" s="1"/>
  <c r="C1551" i="20" s="1"/>
  <c r="C1552" i="20" s="1"/>
  <c r="C1553" i="20" s="1"/>
  <c r="C1554" i="20" s="1"/>
  <c r="C1555" i="20" s="1"/>
  <c r="C1556" i="20" s="1"/>
  <c r="C1557" i="20" s="1"/>
  <c r="C1558" i="20" s="1"/>
  <c r="C1559" i="20" s="1"/>
  <c r="C1560" i="20" s="1"/>
  <c r="C1561" i="20" s="1"/>
  <c r="C1562" i="20" s="1"/>
  <c r="C1563" i="20" s="1"/>
  <c r="C1564" i="20" s="1"/>
  <c r="C1565" i="20" s="1"/>
  <c r="C1566" i="20" s="1"/>
  <c r="C1567" i="20" s="1"/>
  <c r="C1568" i="20" s="1"/>
  <c r="C1569" i="20" s="1"/>
  <c r="C1570" i="20" s="1"/>
  <c r="C1571" i="20" s="1"/>
  <c r="C1572" i="20" s="1"/>
  <c r="C1573" i="20" s="1"/>
  <c r="C1574" i="20" s="1"/>
  <c r="C1575" i="20" s="1"/>
  <c r="C1576" i="20" s="1"/>
  <c r="C1577" i="20" s="1"/>
  <c r="C1578" i="20" s="1"/>
  <c r="C1579" i="20" s="1"/>
  <c r="C1580" i="20" s="1"/>
  <c r="C1581" i="20" s="1"/>
  <c r="C1582" i="20" s="1"/>
  <c r="C1583" i="20" s="1"/>
  <c r="C1584" i="20" s="1"/>
  <c r="C1585" i="20" s="1"/>
  <c r="C1586" i="20" s="1"/>
  <c r="K1522" i="20"/>
  <c r="I1521" i="20"/>
  <c r="O1508" i="20"/>
  <c r="N1508" i="20"/>
  <c r="D1438" i="20"/>
  <c r="C1438" i="20"/>
  <c r="C1439" i="20" s="1"/>
  <c r="C1440" i="20" s="1"/>
  <c r="C1441" i="20" s="1"/>
  <c r="C1442" i="20" s="1"/>
  <c r="C1443" i="20" s="1"/>
  <c r="C1444" i="20" s="1"/>
  <c r="C1445" i="20" s="1"/>
  <c r="C1446" i="20" s="1"/>
  <c r="C1447" i="20" s="1"/>
  <c r="C1448" i="20" s="1"/>
  <c r="C1449" i="20" s="1"/>
  <c r="C1450" i="20" s="1"/>
  <c r="C1451" i="20" s="1"/>
  <c r="C1452" i="20" s="1"/>
  <c r="C1453" i="20" s="1"/>
  <c r="C1454" i="20" s="1"/>
  <c r="C1455" i="20" s="1"/>
  <c r="C1456" i="20" s="1"/>
  <c r="C1457" i="20" s="1"/>
  <c r="C1458" i="20" s="1"/>
  <c r="C1459" i="20" s="1"/>
  <c r="C1460" i="20" s="1"/>
  <c r="C1461" i="20" s="1"/>
  <c r="C1462" i="20" s="1"/>
  <c r="C1463" i="20" s="1"/>
  <c r="C1464" i="20" s="1"/>
  <c r="C1465" i="20" s="1"/>
  <c r="C1466" i="20" s="1"/>
  <c r="C1467" i="20" s="1"/>
  <c r="C1468" i="20" s="1"/>
  <c r="C1469" i="20" s="1"/>
  <c r="C1470" i="20" s="1"/>
  <c r="C1471" i="20" s="1"/>
  <c r="C1472" i="20" s="1"/>
  <c r="C1473" i="20" s="1"/>
  <c r="C1474" i="20" s="1"/>
  <c r="C1475" i="20" s="1"/>
  <c r="C1476" i="20" s="1"/>
  <c r="C1477" i="20" s="1"/>
  <c r="C1478" i="20" s="1"/>
  <c r="C1479" i="20" s="1"/>
  <c r="C1480" i="20" s="1"/>
  <c r="C1481" i="20" s="1"/>
  <c r="C1482" i="20" s="1"/>
  <c r="C1483" i="20" s="1"/>
  <c r="C1484" i="20" s="1"/>
  <c r="C1485" i="20" s="1"/>
  <c r="C1486" i="20" s="1"/>
  <c r="C1487" i="20" s="1"/>
  <c r="C1488" i="20" s="1"/>
  <c r="C1489" i="20" s="1"/>
  <c r="C1490" i="20" s="1"/>
  <c r="C1491" i="20" s="1"/>
  <c r="C1492" i="20" s="1"/>
  <c r="C1493" i="20" s="1"/>
  <c r="C1494" i="20" s="1"/>
  <c r="C1495" i="20" s="1"/>
  <c r="C1496" i="20" s="1"/>
  <c r="C1497" i="20" s="1"/>
  <c r="I1435" i="20"/>
  <c r="E1438" i="20" s="1"/>
  <c r="K1433" i="20"/>
  <c r="I1432" i="20"/>
  <c r="O1419" i="20"/>
  <c r="N1419" i="20"/>
  <c r="D1349" i="20"/>
  <c r="C1349" i="20"/>
  <c r="C1350" i="20" s="1"/>
  <c r="C1351" i="20" s="1"/>
  <c r="C1352" i="20" s="1"/>
  <c r="C1353" i="20" s="1"/>
  <c r="C1354" i="20" s="1"/>
  <c r="C1355" i="20" s="1"/>
  <c r="C1356" i="20" s="1"/>
  <c r="C1357" i="20" s="1"/>
  <c r="C1358" i="20" s="1"/>
  <c r="C1359" i="20" s="1"/>
  <c r="C1360" i="20" s="1"/>
  <c r="C1361" i="20" s="1"/>
  <c r="C1362" i="20" s="1"/>
  <c r="C1363" i="20" s="1"/>
  <c r="C1364" i="20" s="1"/>
  <c r="C1365" i="20" s="1"/>
  <c r="C1366" i="20" s="1"/>
  <c r="C1367" i="20" s="1"/>
  <c r="C1368" i="20" s="1"/>
  <c r="C1369" i="20" s="1"/>
  <c r="C1370" i="20" s="1"/>
  <c r="C1371" i="20" s="1"/>
  <c r="C1372" i="20" s="1"/>
  <c r="C1373" i="20" s="1"/>
  <c r="C1374" i="20" s="1"/>
  <c r="C1375" i="20" s="1"/>
  <c r="C1376" i="20" s="1"/>
  <c r="C1377" i="20" s="1"/>
  <c r="C1378" i="20" s="1"/>
  <c r="C1379" i="20" s="1"/>
  <c r="C1380" i="20" s="1"/>
  <c r="C1381" i="20" s="1"/>
  <c r="C1382" i="20" s="1"/>
  <c r="C1383" i="20" s="1"/>
  <c r="C1384" i="20" s="1"/>
  <c r="C1385" i="20" s="1"/>
  <c r="C1386" i="20" s="1"/>
  <c r="C1387" i="20" s="1"/>
  <c r="C1388" i="20" s="1"/>
  <c r="C1389" i="20" s="1"/>
  <c r="C1390" i="20" s="1"/>
  <c r="C1391" i="20" s="1"/>
  <c r="C1392" i="20" s="1"/>
  <c r="C1393" i="20" s="1"/>
  <c r="C1394" i="20" s="1"/>
  <c r="C1395" i="20" s="1"/>
  <c r="C1396" i="20" s="1"/>
  <c r="C1397" i="20" s="1"/>
  <c r="C1398" i="20" s="1"/>
  <c r="C1399" i="20" s="1"/>
  <c r="C1400" i="20" s="1"/>
  <c r="C1401" i="20" s="1"/>
  <c r="C1402" i="20" s="1"/>
  <c r="C1403" i="20" s="1"/>
  <c r="C1404" i="20" s="1"/>
  <c r="C1405" i="20" s="1"/>
  <c r="C1406" i="20" s="1"/>
  <c r="C1407" i="20" s="1"/>
  <c r="C1408" i="20" s="1"/>
  <c r="K1344" i="20"/>
  <c r="I1343" i="20"/>
  <c r="O1330" i="20"/>
  <c r="N1330" i="20"/>
  <c r="D1260" i="20"/>
  <c r="C1260" i="20"/>
  <c r="C1261" i="20" s="1"/>
  <c r="C1262" i="20" s="1"/>
  <c r="C1263" i="20" s="1"/>
  <c r="C1264" i="20" s="1"/>
  <c r="C1265" i="20" s="1"/>
  <c r="C1266" i="20" s="1"/>
  <c r="C1267" i="20" s="1"/>
  <c r="C1268" i="20" s="1"/>
  <c r="C1269" i="20" s="1"/>
  <c r="C1270" i="20" s="1"/>
  <c r="C1271" i="20" s="1"/>
  <c r="C1272" i="20" s="1"/>
  <c r="C1273" i="20" s="1"/>
  <c r="C1274" i="20" s="1"/>
  <c r="C1275" i="20" s="1"/>
  <c r="C1276" i="20" s="1"/>
  <c r="C1277" i="20" s="1"/>
  <c r="C1278" i="20" s="1"/>
  <c r="C1279" i="20" s="1"/>
  <c r="C1280" i="20" s="1"/>
  <c r="C1281" i="20" s="1"/>
  <c r="C1282" i="20" s="1"/>
  <c r="C1283" i="20" s="1"/>
  <c r="C1284" i="20" s="1"/>
  <c r="C1285" i="20" s="1"/>
  <c r="C1286" i="20" s="1"/>
  <c r="C1287" i="20" s="1"/>
  <c r="C1288" i="20" s="1"/>
  <c r="C1289" i="20" s="1"/>
  <c r="C1290" i="20" s="1"/>
  <c r="C1291" i="20" s="1"/>
  <c r="C1292" i="20" s="1"/>
  <c r="C1293" i="20" s="1"/>
  <c r="C1294" i="20" s="1"/>
  <c r="C1295" i="20" s="1"/>
  <c r="C1296" i="20" s="1"/>
  <c r="C1297" i="20" s="1"/>
  <c r="C1298" i="20" s="1"/>
  <c r="C1299" i="20" s="1"/>
  <c r="C1300" i="20" s="1"/>
  <c r="C1301" i="20" s="1"/>
  <c r="C1302" i="20" s="1"/>
  <c r="C1303" i="20" s="1"/>
  <c r="C1304" i="20" s="1"/>
  <c r="C1305" i="20" s="1"/>
  <c r="C1306" i="20" s="1"/>
  <c r="C1307" i="20" s="1"/>
  <c r="C1308" i="20" s="1"/>
  <c r="C1309" i="20" s="1"/>
  <c r="C1310" i="20" s="1"/>
  <c r="C1311" i="20" s="1"/>
  <c r="C1312" i="20" s="1"/>
  <c r="C1313" i="20" s="1"/>
  <c r="C1314" i="20" s="1"/>
  <c r="C1315" i="20" s="1"/>
  <c r="C1316" i="20" s="1"/>
  <c r="C1317" i="20" s="1"/>
  <c r="C1318" i="20" s="1"/>
  <c r="C1319" i="20" s="1"/>
  <c r="K1255" i="20"/>
  <c r="I1254" i="20"/>
  <c r="O1241" i="20"/>
  <c r="N1241" i="20"/>
  <c r="D1171" i="20"/>
  <c r="C1171" i="20"/>
  <c r="C1172" i="20" s="1"/>
  <c r="C1173" i="20" s="1"/>
  <c r="C1174" i="20" s="1"/>
  <c r="C1175" i="20" s="1"/>
  <c r="C1176" i="20" s="1"/>
  <c r="C1177" i="20" s="1"/>
  <c r="C1178" i="20" s="1"/>
  <c r="C1179" i="20" s="1"/>
  <c r="C1180" i="20" s="1"/>
  <c r="C1181" i="20" s="1"/>
  <c r="C1182" i="20" s="1"/>
  <c r="C1183" i="20" s="1"/>
  <c r="C1184" i="20" s="1"/>
  <c r="C1185" i="20" s="1"/>
  <c r="C1186" i="20" s="1"/>
  <c r="C1187" i="20" s="1"/>
  <c r="C1188" i="20" s="1"/>
  <c r="C1189" i="20" s="1"/>
  <c r="C1190" i="20" s="1"/>
  <c r="C1191" i="20" s="1"/>
  <c r="C1192" i="20" s="1"/>
  <c r="C1193" i="20" s="1"/>
  <c r="C1194" i="20" s="1"/>
  <c r="C1195" i="20" s="1"/>
  <c r="C1196" i="20" s="1"/>
  <c r="C1197" i="20" s="1"/>
  <c r="C1198" i="20" s="1"/>
  <c r="C1199" i="20" s="1"/>
  <c r="C1200" i="20" s="1"/>
  <c r="C1201" i="20" s="1"/>
  <c r="C1202" i="20" s="1"/>
  <c r="C1203" i="20" s="1"/>
  <c r="C1204" i="20" s="1"/>
  <c r="C1205" i="20" s="1"/>
  <c r="C1206" i="20" s="1"/>
  <c r="C1207" i="20" s="1"/>
  <c r="C1208" i="20" s="1"/>
  <c r="C1209" i="20" s="1"/>
  <c r="C1210" i="20" s="1"/>
  <c r="C1211" i="20" s="1"/>
  <c r="C1212" i="20" s="1"/>
  <c r="C1213" i="20" s="1"/>
  <c r="C1214" i="20" s="1"/>
  <c r="C1215" i="20" s="1"/>
  <c r="C1216" i="20" s="1"/>
  <c r="C1217" i="20" s="1"/>
  <c r="C1218" i="20" s="1"/>
  <c r="C1219" i="20" s="1"/>
  <c r="C1220" i="20" s="1"/>
  <c r="C1221" i="20" s="1"/>
  <c r="C1222" i="20" s="1"/>
  <c r="C1223" i="20" s="1"/>
  <c r="C1224" i="20" s="1"/>
  <c r="C1225" i="20" s="1"/>
  <c r="C1226" i="20" s="1"/>
  <c r="C1227" i="20" s="1"/>
  <c r="C1228" i="20" s="1"/>
  <c r="C1229" i="20" s="1"/>
  <c r="C1230" i="20" s="1"/>
  <c r="K1166" i="20"/>
  <c r="I1165" i="20"/>
  <c r="O1152" i="20"/>
  <c r="N1152" i="20"/>
  <c r="D1082" i="20"/>
  <c r="C1082" i="20"/>
  <c r="C1083" i="20" s="1"/>
  <c r="C1084" i="20" s="1"/>
  <c r="C1085" i="20" s="1"/>
  <c r="C1086" i="20" s="1"/>
  <c r="C1087" i="20" s="1"/>
  <c r="C1088" i="20" s="1"/>
  <c r="C1089" i="20" s="1"/>
  <c r="C1090" i="20" s="1"/>
  <c r="C1091" i="20" s="1"/>
  <c r="C1092" i="20" s="1"/>
  <c r="C1093" i="20" s="1"/>
  <c r="C1094" i="20" s="1"/>
  <c r="C1095" i="20" s="1"/>
  <c r="C1096" i="20" s="1"/>
  <c r="C1097" i="20" s="1"/>
  <c r="C1098" i="20" s="1"/>
  <c r="C1099" i="20" s="1"/>
  <c r="C1100" i="20" s="1"/>
  <c r="C1101" i="20" s="1"/>
  <c r="C1102" i="20" s="1"/>
  <c r="C1103" i="20" s="1"/>
  <c r="C1104" i="20" s="1"/>
  <c r="C1105" i="20" s="1"/>
  <c r="C1106" i="20" s="1"/>
  <c r="C1107" i="20" s="1"/>
  <c r="C1108" i="20" s="1"/>
  <c r="C1109" i="20" s="1"/>
  <c r="C1110" i="20" s="1"/>
  <c r="C1111" i="20" s="1"/>
  <c r="C1112" i="20" s="1"/>
  <c r="C1113" i="20" s="1"/>
  <c r="C1114" i="20" s="1"/>
  <c r="C1115" i="20" s="1"/>
  <c r="C1116" i="20" s="1"/>
  <c r="C1117" i="20" s="1"/>
  <c r="C1118" i="20" s="1"/>
  <c r="C1119" i="20" s="1"/>
  <c r="C1120" i="20" s="1"/>
  <c r="C1121" i="20" s="1"/>
  <c r="C1122" i="20" s="1"/>
  <c r="C1123" i="20" s="1"/>
  <c r="C1124" i="20" s="1"/>
  <c r="C1125" i="20" s="1"/>
  <c r="C1126" i="20" s="1"/>
  <c r="C1127" i="20" s="1"/>
  <c r="C1128" i="20" s="1"/>
  <c r="C1129" i="20" s="1"/>
  <c r="C1130" i="20" s="1"/>
  <c r="C1131" i="20" s="1"/>
  <c r="C1132" i="20" s="1"/>
  <c r="C1133" i="20" s="1"/>
  <c r="C1134" i="20" s="1"/>
  <c r="C1135" i="20" s="1"/>
  <c r="C1136" i="20" s="1"/>
  <c r="C1137" i="20" s="1"/>
  <c r="C1138" i="20" s="1"/>
  <c r="C1139" i="20" s="1"/>
  <c r="C1140" i="20" s="1"/>
  <c r="C1141" i="20" s="1"/>
  <c r="K1077" i="20"/>
  <c r="I1076" i="20"/>
  <c r="O1063" i="20"/>
  <c r="N1063" i="20"/>
  <c r="D993" i="20"/>
  <c r="C993" i="20"/>
  <c r="C994" i="20" s="1"/>
  <c r="C995" i="20" s="1"/>
  <c r="C996" i="20" s="1"/>
  <c r="C997" i="20" s="1"/>
  <c r="C998" i="20" s="1"/>
  <c r="C999" i="20" s="1"/>
  <c r="C1000" i="20" s="1"/>
  <c r="C1001" i="20" s="1"/>
  <c r="C1002" i="20" s="1"/>
  <c r="C1003" i="20" s="1"/>
  <c r="C1004" i="20" s="1"/>
  <c r="C1005" i="20" s="1"/>
  <c r="C1006" i="20" s="1"/>
  <c r="C1007" i="20" s="1"/>
  <c r="C1008" i="20" s="1"/>
  <c r="C1009" i="20" s="1"/>
  <c r="C1010" i="20" s="1"/>
  <c r="C1011" i="20" s="1"/>
  <c r="C1012" i="20" s="1"/>
  <c r="C1013" i="20" s="1"/>
  <c r="C1014" i="20" s="1"/>
  <c r="C1015" i="20" s="1"/>
  <c r="C1016" i="20" s="1"/>
  <c r="C1017" i="20" s="1"/>
  <c r="C1018" i="20" s="1"/>
  <c r="C1019" i="20" s="1"/>
  <c r="C1020" i="20" s="1"/>
  <c r="C1021" i="20" s="1"/>
  <c r="C1022" i="20" s="1"/>
  <c r="C1023" i="20" s="1"/>
  <c r="C1024" i="20" s="1"/>
  <c r="C1025" i="20" s="1"/>
  <c r="C1026" i="20" s="1"/>
  <c r="C1027" i="20" s="1"/>
  <c r="C1028" i="20" s="1"/>
  <c r="C1029" i="20" s="1"/>
  <c r="C1030" i="20" s="1"/>
  <c r="C1031" i="20" s="1"/>
  <c r="C1032" i="20" s="1"/>
  <c r="C1033" i="20" s="1"/>
  <c r="C1034" i="20" s="1"/>
  <c r="C1035" i="20" s="1"/>
  <c r="C1036" i="20" s="1"/>
  <c r="C1037" i="20" s="1"/>
  <c r="C1038" i="20" s="1"/>
  <c r="C1039" i="20" s="1"/>
  <c r="C1040" i="20" s="1"/>
  <c r="C1041" i="20" s="1"/>
  <c r="C1042" i="20" s="1"/>
  <c r="C1043" i="20" s="1"/>
  <c r="C1044" i="20" s="1"/>
  <c r="C1045" i="20" s="1"/>
  <c r="C1046" i="20" s="1"/>
  <c r="C1047" i="20" s="1"/>
  <c r="C1048" i="20" s="1"/>
  <c r="C1049" i="20" s="1"/>
  <c r="C1050" i="20" s="1"/>
  <c r="C1051" i="20" s="1"/>
  <c r="C1052" i="20" s="1"/>
  <c r="K988" i="20"/>
  <c r="I987" i="20"/>
  <c r="O974" i="20"/>
  <c r="N974" i="20"/>
  <c r="D904" i="20"/>
  <c r="C904" i="20"/>
  <c r="C905" i="20" s="1"/>
  <c r="C906" i="20" s="1"/>
  <c r="C907" i="20" s="1"/>
  <c r="C908" i="20" s="1"/>
  <c r="C909" i="20" s="1"/>
  <c r="C910" i="20" s="1"/>
  <c r="C911" i="20" s="1"/>
  <c r="C912" i="20" s="1"/>
  <c r="C913" i="20" s="1"/>
  <c r="C914" i="20" s="1"/>
  <c r="C915" i="20" s="1"/>
  <c r="C916" i="20" s="1"/>
  <c r="C917" i="20" s="1"/>
  <c r="C918" i="20" s="1"/>
  <c r="C919" i="20" s="1"/>
  <c r="C920" i="20" s="1"/>
  <c r="C921" i="20" s="1"/>
  <c r="C922" i="20" s="1"/>
  <c r="C923" i="20" s="1"/>
  <c r="C924" i="20" s="1"/>
  <c r="C925" i="20" s="1"/>
  <c r="C926" i="20" s="1"/>
  <c r="C927" i="20" s="1"/>
  <c r="C928" i="20" s="1"/>
  <c r="C929" i="20" s="1"/>
  <c r="C930" i="20" s="1"/>
  <c r="C931" i="20" s="1"/>
  <c r="C932" i="20" s="1"/>
  <c r="C933" i="20" s="1"/>
  <c r="C934" i="20" s="1"/>
  <c r="C935" i="20" s="1"/>
  <c r="C936" i="20" s="1"/>
  <c r="C937" i="20" s="1"/>
  <c r="C938" i="20" s="1"/>
  <c r="C939" i="20" s="1"/>
  <c r="C940" i="20" s="1"/>
  <c r="C941" i="20" s="1"/>
  <c r="C942" i="20" s="1"/>
  <c r="C943" i="20" s="1"/>
  <c r="C944" i="20" s="1"/>
  <c r="C945" i="20" s="1"/>
  <c r="C946" i="20" s="1"/>
  <c r="C947" i="20" s="1"/>
  <c r="C948" i="20" s="1"/>
  <c r="C949" i="20" s="1"/>
  <c r="C950" i="20" s="1"/>
  <c r="C951" i="20" s="1"/>
  <c r="C952" i="20" s="1"/>
  <c r="C953" i="20" s="1"/>
  <c r="C954" i="20" s="1"/>
  <c r="C955" i="20" s="1"/>
  <c r="C956" i="20" s="1"/>
  <c r="C957" i="20" s="1"/>
  <c r="C958" i="20" s="1"/>
  <c r="C959" i="20" s="1"/>
  <c r="C960" i="20" s="1"/>
  <c r="C961" i="20" s="1"/>
  <c r="C962" i="20" s="1"/>
  <c r="C963" i="20" s="1"/>
  <c r="K899" i="20"/>
  <c r="I898" i="20"/>
  <c r="O885" i="20"/>
  <c r="N885" i="20"/>
  <c r="D815" i="20"/>
  <c r="C815" i="20"/>
  <c r="C816" i="20" s="1"/>
  <c r="C817" i="20" s="1"/>
  <c r="C818" i="20" s="1"/>
  <c r="C819" i="20" s="1"/>
  <c r="C820" i="20" s="1"/>
  <c r="C821" i="20" s="1"/>
  <c r="C822" i="20" s="1"/>
  <c r="C823" i="20" s="1"/>
  <c r="C824" i="20" s="1"/>
  <c r="C825" i="20" s="1"/>
  <c r="C826" i="20" s="1"/>
  <c r="C827" i="20" s="1"/>
  <c r="C828" i="20" s="1"/>
  <c r="C829" i="20" s="1"/>
  <c r="C830" i="20" s="1"/>
  <c r="C831" i="20" s="1"/>
  <c r="C832" i="20" s="1"/>
  <c r="C833" i="20" s="1"/>
  <c r="C834" i="20" s="1"/>
  <c r="C835" i="20" s="1"/>
  <c r="C836" i="20" s="1"/>
  <c r="C837" i="20" s="1"/>
  <c r="C838" i="20" s="1"/>
  <c r="C839" i="20" s="1"/>
  <c r="C840" i="20" s="1"/>
  <c r="C841" i="20" s="1"/>
  <c r="C842" i="20" s="1"/>
  <c r="C843" i="20" s="1"/>
  <c r="C844" i="20" s="1"/>
  <c r="C845" i="20" s="1"/>
  <c r="C846" i="20" s="1"/>
  <c r="C847" i="20" s="1"/>
  <c r="C848" i="20" s="1"/>
  <c r="C849" i="20" s="1"/>
  <c r="C850" i="20" s="1"/>
  <c r="C851" i="20" s="1"/>
  <c r="C852" i="20" s="1"/>
  <c r="C853" i="20" s="1"/>
  <c r="C854" i="20" s="1"/>
  <c r="C855" i="20" s="1"/>
  <c r="C856" i="20" s="1"/>
  <c r="C857" i="20" s="1"/>
  <c r="C858" i="20" s="1"/>
  <c r="C859" i="20" s="1"/>
  <c r="C860" i="20" s="1"/>
  <c r="C861" i="20" s="1"/>
  <c r="C862" i="20" s="1"/>
  <c r="C863" i="20" s="1"/>
  <c r="C864" i="20" s="1"/>
  <c r="C865" i="20" s="1"/>
  <c r="C866" i="20" s="1"/>
  <c r="C867" i="20" s="1"/>
  <c r="C868" i="20" s="1"/>
  <c r="C869" i="20" s="1"/>
  <c r="C870" i="20" s="1"/>
  <c r="C871" i="20" s="1"/>
  <c r="C872" i="20" s="1"/>
  <c r="C873" i="20" s="1"/>
  <c r="C874" i="20" s="1"/>
  <c r="K810" i="20"/>
  <c r="I809" i="20"/>
  <c r="O796" i="20"/>
  <c r="N796" i="20"/>
  <c r="D726" i="20"/>
  <c r="C726" i="20"/>
  <c r="C727" i="20" s="1"/>
  <c r="C728" i="20" s="1"/>
  <c r="C729" i="20" s="1"/>
  <c r="C730" i="20" s="1"/>
  <c r="C731" i="20" s="1"/>
  <c r="C732" i="20" s="1"/>
  <c r="C733" i="20" s="1"/>
  <c r="C734" i="20" s="1"/>
  <c r="C735" i="20" s="1"/>
  <c r="C736" i="20" s="1"/>
  <c r="C737" i="20" s="1"/>
  <c r="C738" i="20" s="1"/>
  <c r="C739" i="20" s="1"/>
  <c r="C740" i="20" s="1"/>
  <c r="C741" i="20" s="1"/>
  <c r="C742" i="20" s="1"/>
  <c r="C743" i="20" s="1"/>
  <c r="C744" i="20" s="1"/>
  <c r="C745" i="20" s="1"/>
  <c r="C746" i="20" s="1"/>
  <c r="C747" i="20" s="1"/>
  <c r="C748" i="20" s="1"/>
  <c r="C749" i="20" s="1"/>
  <c r="C750" i="20" s="1"/>
  <c r="C751" i="20" s="1"/>
  <c r="C752" i="20" s="1"/>
  <c r="C753" i="20" s="1"/>
  <c r="C754" i="20" s="1"/>
  <c r="C755" i="20" s="1"/>
  <c r="C756" i="20" s="1"/>
  <c r="C757" i="20" s="1"/>
  <c r="C758" i="20" s="1"/>
  <c r="C759" i="20" s="1"/>
  <c r="C760" i="20" s="1"/>
  <c r="C761" i="20" s="1"/>
  <c r="C762" i="20" s="1"/>
  <c r="C763" i="20" s="1"/>
  <c r="C764" i="20" s="1"/>
  <c r="C765" i="20" s="1"/>
  <c r="C766" i="20" s="1"/>
  <c r="C767" i="20" s="1"/>
  <c r="C768" i="20" s="1"/>
  <c r="C769" i="20" s="1"/>
  <c r="C770" i="20" s="1"/>
  <c r="C771" i="20" s="1"/>
  <c r="C772" i="20" s="1"/>
  <c r="C773" i="20" s="1"/>
  <c r="C774" i="20" s="1"/>
  <c r="C775" i="20" s="1"/>
  <c r="C776" i="20" s="1"/>
  <c r="C777" i="20" s="1"/>
  <c r="C778" i="20" s="1"/>
  <c r="C779" i="20" s="1"/>
  <c r="C780" i="20" s="1"/>
  <c r="C781" i="20" s="1"/>
  <c r="C782" i="20" s="1"/>
  <c r="C783" i="20" s="1"/>
  <c r="C784" i="20" s="1"/>
  <c r="C785" i="20" s="1"/>
  <c r="K721" i="20"/>
  <c r="I720" i="20"/>
  <c r="O707" i="20"/>
  <c r="N707" i="20"/>
  <c r="D637" i="20"/>
  <c r="C637" i="20"/>
  <c r="C638" i="20" s="1"/>
  <c r="C639" i="20" s="1"/>
  <c r="C640" i="20" s="1"/>
  <c r="C641" i="20" s="1"/>
  <c r="C642" i="20" s="1"/>
  <c r="C643" i="20" s="1"/>
  <c r="C644" i="20" s="1"/>
  <c r="C645" i="20" s="1"/>
  <c r="C646" i="20" s="1"/>
  <c r="C647" i="20" s="1"/>
  <c r="C648" i="20" s="1"/>
  <c r="C649" i="20" s="1"/>
  <c r="C650" i="20" s="1"/>
  <c r="C651" i="20" s="1"/>
  <c r="C652" i="20" s="1"/>
  <c r="C653" i="20" s="1"/>
  <c r="C654" i="20" s="1"/>
  <c r="C655" i="20" s="1"/>
  <c r="C656" i="20" s="1"/>
  <c r="C657" i="20" s="1"/>
  <c r="C658" i="20" s="1"/>
  <c r="C659" i="20" s="1"/>
  <c r="C660" i="20" s="1"/>
  <c r="C661" i="20" s="1"/>
  <c r="C662" i="20" s="1"/>
  <c r="C663" i="20" s="1"/>
  <c r="C664" i="20" s="1"/>
  <c r="C665" i="20" s="1"/>
  <c r="C666" i="20" s="1"/>
  <c r="C667" i="20" s="1"/>
  <c r="C668" i="20" s="1"/>
  <c r="C669" i="20" s="1"/>
  <c r="C670" i="20" s="1"/>
  <c r="C671" i="20" s="1"/>
  <c r="C672" i="20" s="1"/>
  <c r="C673" i="20" s="1"/>
  <c r="C674" i="20" s="1"/>
  <c r="C675" i="20" s="1"/>
  <c r="C676" i="20" s="1"/>
  <c r="C677" i="20" s="1"/>
  <c r="C678" i="20" s="1"/>
  <c r="C679" i="20" s="1"/>
  <c r="C680" i="20" s="1"/>
  <c r="C681" i="20" s="1"/>
  <c r="C682" i="20" s="1"/>
  <c r="C683" i="20" s="1"/>
  <c r="C684" i="20" s="1"/>
  <c r="C685" i="20" s="1"/>
  <c r="C686" i="20" s="1"/>
  <c r="C687" i="20" s="1"/>
  <c r="C688" i="20" s="1"/>
  <c r="C689" i="20" s="1"/>
  <c r="C690" i="20" s="1"/>
  <c r="C691" i="20" s="1"/>
  <c r="C692" i="20" s="1"/>
  <c r="C693" i="20" s="1"/>
  <c r="C694" i="20" s="1"/>
  <c r="C695" i="20" s="1"/>
  <c r="C696" i="20" s="1"/>
  <c r="K632" i="20"/>
  <c r="I631" i="20"/>
  <c r="O618" i="20"/>
  <c r="N618" i="20"/>
  <c r="F607" i="20"/>
  <c r="F606" i="20"/>
  <c r="F605" i="20"/>
  <c r="F604" i="20"/>
  <c r="F603" i="20"/>
  <c r="F602" i="20"/>
  <c r="F601" i="20"/>
  <c r="F600" i="20"/>
  <c r="F599" i="20"/>
  <c r="F598" i="20"/>
  <c r="F597" i="20"/>
  <c r="F596" i="20"/>
  <c r="F595" i="20"/>
  <c r="F594" i="20"/>
  <c r="F593" i="20"/>
  <c r="F592" i="20"/>
  <c r="D548" i="20"/>
  <c r="C548" i="20"/>
  <c r="C549" i="20" s="1"/>
  <c r="C550" i="20" s="1"/>
  <c r="C551" i="20" s="1"/>
  <c r="C552" i="20" s="1"/>
  <c r="C553" i="20" s="1"/>
  <c r="C554" i="20" s="1"/>
  <c r="C555" i="20" s="1"/>
  <c r="C556" i="20" s="1"/>
  <c r="C557" i="20" s="1"/>
  <c r="C558" i="20" s="1"/>
  <c r="C559" i="20" s="1"/>
  <c r="C560" i="20" s="1"/>
  <c r="C561" i="20" s="1"/>
  <c r="C562" i="20" s="1"/>
  <c r="C563" i="20" s="1"/>
  <c r="C564" i="20" s="1"/>
  <c r="C565" i="20" s="1"/>
  <c r="C566" i="20" s="1"/>
  <c r="C567" i="20" s="1"/>
  <c r="C568" i="20" s="1"/>
  <c r="C569" i="20" s="1"/>
  <c r="C570" i="20" s="1"/>
  <c r="C571" i="20" s="1"/>
  <c r="C572" i="20" s="1"/>
  <c r="C573" i="20" s="1"/>
  <c r="C574" i="20" s="1"/>
  <c r="C575" i="20" s="1"/>
  <c r="C576" i="20" s="1"/>
  <c r="C577" i="20" s="1"/>
  <c r="C578" i="20" s="1"/>
  <c r="C579" i="20" s="1"/>
  <c r="C580" i="20" s="1"/>
  <c r="C581" i="20" s="1"/>
  <c r="C582" i="20" s="1"/>
  <c r="C583" i="20" s="1"/>
  <c r="C584" i="20" s="1"/>
  <c r="C585" i="20" s="1"/>
  <c r="C586" i="20" s="1"/>
  <c r="C587" i="20" s="1"/>
  <c r="C588" i="20" s="1"/>
  <c r="C589" i="20" s="1"/>
  <c r="C590" i="20" s="1"/>
  <c r="C591" i="20" s="1"/>
  <c r="C592" i="20" s="1"/>
  <c r="C593" i="20" s="1"/>
  <c r="C594" i="20" s="1"/>
  <c r="C595" i="20" s="1"/>
  <c r="C596" i="20" s="1"/>
  <c r="C597" i="20" s="1"/>
  <c r="C598" i="20" s="1"/>
  <c r="C599" i="20" s="1"/>
  <c r="C600" i="20" s="1"/>
  <c r="C601" i="20" s="1"/>
  <c r="C602" i="20" s="1"/>
  <c r="C603" i="20" s="1"/>
  <c r="C604" i="20" s="1"/>
  <c r="C605" i="20" s="1"/>
  <c r="C606" i="20" s="1"/>
  <c r="C607" i="20" s="1"/>
  <c r="K543" i="20"/>
  <c r="I542" i="20"/>
  <c r="O529" i="20"/>
  <c r="N529" i="20"/>
  <c r="D459" i="20"/>
  <c r="C459" i="20"/>
  <c r="C460" i="20" s="1"/>
  <c r="C461" i="20" s="1"/>
  <c r="C462" i="20" s="1"/>
  <c r="C463" i="20" s="1"/>
  <c r="C464" i="20" s="1"/>
  <c r="C465" i="20" s="1"/>
  <c r="C466" i="20" s="1"/>
  <c r="C467" i="20" s="1"/>
  <c r="C468" i="20" s="1"/>
  <c r="C469" i="20" s="1"/>
  <c r="C470" i="20" s="1"/>
  <c r="C471" i="20" s="1"/>
  <c r="C472" i="20" s="1"/>
  <c r="C473" i="20" s="1"/>
  <c r="C474" i="20" s="1"/>
  <c r="C475" i="20" s="1"/>
  <c r="C476" i="20" s="1"/>
  <c r="C477" i="20" s="1"/>
  <c r="C478" i="20" s="1"/>
  <c r="C479" i="20" s="1"/>
  <c r="C480" i="20" s="1"/>
  <c r="C481" i="20" s="1"/>
  <c r="C482" i="20" s="1"/>
  <c r="C483" i="20" s="1"/>
  <c r="C484" i="20" s="1"/>
  <c r="C485" i="20" s="1"/>
  <c r="C486" i="20" s="1"/>
  <c r="C487" i="20" s="1"/>
  <c r="C488" i="20" s="1"/>
  <c r="C489" i="20" s="1"/>
  <c r="C490" i="20" s="1"/>
  <c r="C491" i="20" s="1"/>
  <c r="C492" i="20" s="1"/>
  <c r="C493" i="20" s="1"/>
  <c r="C494" i="20" s="1"/>
  <c r="C495" i="20" s="1"/>
  <c r="C496" i="20" s="1"/>
  <c r="C497" i="20" s="1"/>
  <c r="C498" i="20" s="1"/>
  <c r="C499" i="20" s="1"/>
  <c r="C500" i="20" s="1"/>
  <c r="C501" i="20" s="1"/>
  <c r="C502" i="20" s="1"/>
  <c r="C503" i="20" s="1"/>
  <c r="C504" i="20" s="1"/>
  <c r="C505" i="20" s="1"/>
  <c r="C506" i="20" s="1"/>
  <c r="C507" i="20" s="1"/>
  <c r="C508" i="20" s="1"/>
  <c r="C509" i="20" s="1"/>
  <c r="C510" i="20" s="1"/>
  <c r="C511" i="20" s="1"/>
  <c r="C512" i="20" s="1"/>
  <c r="C513" i="20" s="1"/>
  <c r="C514" i="20" s="1"/>
  <c r="C515" i="20" s="1"/>
  <c r="C516" i="20" s="1"/>
  <c r="C517" i="20" s="1"/>
  <c r="C518" i="20" s="1"/>
  <c r="K454" i="20"/>
  <c r="I453" i="20"/>
  <c r="O440" i="20"/>
  <c r="N440" i="20"/>
  <c r="D370" i="20"/>
  <c r="C370" i="20"/>
  <c r="C371" i="20" s="1"/>
  <c r="C372" i="20" s="1"/>
  <c r="C373" i="20" s="1"/>
  <c r="C374" i="20" s="1"/>
  <c r="C375" i="20" s="1"/>
  <c r="C376" i="20" s="1"/>
  <c r="C377" i="20" s="1"/>
  <c r="C378" i="20" s="1"/>
  <c r="C379" i="20" s="1"/>
  <c r="C380" i="20" s="1"/>
  <c r="C381" i="20" s="1"/>
  <c r="C382" i="20" s="1"/>
  <c r="C383" i="20" s="1"/>
  <c r="C384" i="20" s="1"/>
  <c r="C385" i="20" s="1"/>
  <c r="C386" i="20" s="1"/>
  <c r="C387" i="20" s="1"/>
  <c r="C388" i="20" s="1"/>
  <c r="C389" i="20" s="1"/>
  <c r="C390" i="20" s="1"/>
  <c r="C391" i="20" s="1"/>
  <c r="C392" i="20" s="1"/>
  <c r="C393" i="20" s="1"/>
  <c r="C394" i="20" s="1"/>
  <c r="C395" i="20" s="1"/>
  <c r="C396" i="20" s="1"/>
  <c r="C397" i="20" s="1"/>
  <c r="C398" i="20" s="1"/>
  <c r="C399" i="20" s="1"/>
  <c r="C400" i="20" s="1"/>
  <c r="C401" i="20" s="1"/>
  <c r="C402" i="20" s="1"/>
  <c r="C403" i="20" s="1"/>
  <c r="C404" i="20" s="1"/>
  <c r="C405" i="20" s="1"/>
  <c r="C406" i="20" s="1"/>
  <c r="C407" i="20" s="1"/>
  <c r="C408" i="20" s="1"/>
  <c r="C409" i="20" s="1"/>
  <c r="C410" i="20" s="1"/>
  <c r="C411" i="20" s="1"/>
  <c r="C412" i="20" s="1"/>
  <c r="C413" i="20" s="1"/>
  <c r="C414" i="20" s="1"/>
  <c r="C415" i="20" s="1"/>
  <c r="C416" i="20" s="1"/>
  <c r="C417" i="20" s="1"/>
  <c r="C418" i="20" s="1"/>
  <c r="C419" i="20" s="1"/>
  <c r="C420" i="20" s="1"/>
  <c r="C421" i="20" s="1"/>
  <c r="C422" i="20" s="1"/>
  <c r="C423" i="20" s="1"/>
  <c r="C424" i="20" s="1"/>
  <c r="C425" i="20" s="1"/>
  <c r="C426" i="20" s="1"/>
  <c r="C427" i="20" s="1"/>
  <c r="C428" i="20" s="1"/>
  <c r="C429" i="20" s="1"/>
  <c r="K365" i="20"/>
  <c r="I364" i="20"/>
  <c r="O351" i="20"/>
  <c r="N351" i="20"/>
  <c r="D280" i="20"/>
  <c r="C280" i="20"/>
  <c r="C281" i="20" s="1"/>
  <c r="C282" i="20" s="1"/>
  <c r="C283" i="20" s="1"/>
  <c r="C284" i="20" s="1"/>
  <c r="C285" i="20" s="1"/>
  <c r="C286" i="20" s="1"/>
  <c r="C287" i="20" s="1"/>
  <c r="C288" i="20" s="1"/>
  <c r="C289" i="20" s="1"/>
  <c r="C290" i="20" s="1"/>
  <c r="C291" i="20" s="1"/>
  <c r="C292" i="20" s="1"/>
  <c r="C293" i="20" s="1"/>
  <c r="C294" i="20" s="1"/>
  <c r="C295" i="20" s="1"/>
  <c r="C296" i="20" s="1"/>
  <c r="C297" i="20" s="1"/>
  <c r="C298" i="20" s="1"/>
  <c r="C299" i="20" s="1"/>
  <c r="C300" i="20" s="1"/>
  <c r="C301" i="20" s="1"/>
  <c r="C302" i="20" s="1"/>
  <c r="C303" i="20" s="1"/>
  <c r="C304" i="20" s="1"/>
  <c r="C305" i="20" s="1"/>
  <c r="C306" i="20" s="1"/>
  <c r="C307" i="20" s="1"/>
  <c r="C308" i="20" s="1"/>
  <c r="C309" i="20" s="1"/>
  <c r="C310" i="20" s="1"/>
  <c r="C311" i="20" s="1"/>
  <c r="C312" i="20" s="1"/>
  <c r="C313" i="20" s="1"/>
  <c r="C314" i="20" s="1"/>
  <c r="C315" i="20" s="1"/>
  <c r="C316" i="20" s="1"/>
  <c r="C317" i="20" s="1"/>
  <c r="C318" i="20" s="1"/>
  <c r="C319" i="20" s="1"/>
  <c r="C320" i="20" s="1"/>
  <c r="C321" i="20" s="1"/>
  <c r="C322" i="20" s="1"/>
  <c r="C323" i="20" s="1"/>
  <c r="C324" i="20" s="1"/>
  <c r="C325" i="20" s="1"/>
  <c r="C326" i="20" s="1"/>
  <c r="C327" i="20" s="1"/>
  <c r="C328" i="20" s="1"/>
  <c r="C329" i="20" s="1"/>
  <c r="C330" i="20" s="1"/>
  <c r="C331" i="20" s="1"/>
  <c r="C332" i="20" s="1"/>
  <c r="C333" i="20" s="1"/>
  <c r="C334" i="20" s="1"/>
  <c r="C335" i="20" s="1"/>
  <c r="C336" i="20" s="1"/>
  <c r="C337" i="20" s="1"/>
  <c r="C338" i="20" s="1"/>
  <c r="C339" i="20" s="1"/>
  <c r="K275" i="20"/>
  <c r="I274" i="20"/>
  <c r="O261" i="20"/>
  <c r="N261" i="20"/>
  <c r="O260" i="20"/>
  <c r="N260" i="20"/>
  <c r="D190" i="20"/>
  <c r="C190" i="20"/>
  <c r="C191" i="20" s="1"/>
  <c r="C192" i="20" s="1"/>
  <c r="C193" i="20" s="1"/>
  <c r="C194" i="20" s="1"/>
  <c r="C195" i="20" s="1"/>
  <c r="C196" i="20" s="1"/>
  <c r="C197" i="20" s="1"/>
  <c r="C198" i="20" s="1"/>
  <c r="C199" i="20" s="1"/>
  <c r="C200" i="20" s="1"/>
  <c r="C201" i="20" s="1"/>
  <c r="C202" i="20" s="1"/>
  <c r="C203" i="20" s="1"/>
  <c r="C204" i="20" s="1"/>
  <c r="C205" i="20" s="1"/>
  <c r="C206" i="20" s="1"/>
  <c r="C207" i="20" s="1"/>
  <c r="C208" i="20" s="1"/>
  <c r="C209" i="20" s="1"/>
  <c r="C210" i="20" s="1"/>
  <c r="C211" i="20" s="1"/>
  <c r="C212" i="20" s="1"/>
  <c r="C213" i="20" s="1"/>
  <c r="C214" i="20" s="1"/>
  <c r="C215" i="20" s="1"/>
  <c r="C216" i="20" s="1"/>
  <c r="C217" i="20" s="1"/>
  <c r="C218" i="20" s="1"/>
  <c r="C219" i="20" s="1"/>
  <c r="C220" i="20" s="1"/>
  <c r="C221" i="20" s="1"/>
  <c r="C222" i="20" s="1"/>
  <c r="C223" i="20" s="1"/>
  <c r="C224" i="20" s="1"/>
  <c r="C225" i="20" s="1"/>
  <c r="C226" i="20" s="1"/>
  <c r="C227" i="20" s="1"/>
  <c r="C228" i="20" s="1"/>
  <c r="C229" i="20" s="1"/>
  <c r="C230" i="20" s="1"/>
  <c r="C231" i="20" s="1"/>
  <c r="C232" i="20" s="1"/>
  <c r="C233" i="20" s="1"/>
  <c r="C234" i="20" s="1"/>
  <c r="C235" i="20" s="1"/>
  <c r="C236" i="20" s="1"/>
  <c r="C237" i="20" s="1"/>
  <c r="C238" i="20" s="1"/>
  <c r="C239" i="20" s="1"/>
  <c r="C240" i="20" s="1"/>
  <c r="C241" i="20" s="1"/>
  <c r="C242" i="20" s="1"/>
  <c r="C243" i="20" s="1"/>
  <c r="C244" i="20" s="1"/>
  <c r="C245" i="20" s="1"/>
  <c r="C246" i="20" s="1"/>
  <c r="C247" i="20" s="1"/>
  <c r="C248" i="20" s="1"/>
  <c r="C249" i="20" s="1"/>
  <c r="K185" i="20"/>
  <c r="I184" i="20"/>
  <c r="O171" i="20"/>
  <c r="N171" i="20"/>
  <c r="D100" i="20"/>
  <c r="C100" i="20"/>
  <c r="C101" i="20" s="1"/>
  <c r="C102" i="20" s="1"/>
  <c r="C103" i="20" s="1"/>
  <c r="C104" i="20" s="1"/>
  <c r="C105" i="20" s="1"/>
  <c r="C106" i="20" s="1"/>
  <c r="C107" i="20" s="1"/>
  <c r="C108" i="20" s="1"/>
  <c r="C109" i="20" s="1"/>
  <c r="C110" i="20" s="1"/>
  <c r="C111" i="20" s="1"/>
  <c r="C112" i="20" s="1"/>
  <c r="C113" i="20" s="1"/>
  <c r="C114" i="20" s="1"/>
  <c r="C115" i="20" s="1"/>
  <c r="C116" i="20" s="1"/>
  <c r="C117" i="20" s="1"/>
  <c r="C118" i="20" s="1"/>
  <c r="C119" i="20" s="1"/>
  <c r="C120" i="20" s="1"/>
  <c r="C121" i="20" s="1"/>
  <c r="C122" i="20" s="1"/>
  <c r="C123" i="20" s="1"/>
  <c r="C124" i="20" s="1"/>
  <c r="C125" i="20" s="1"/>
  <c r="C126" i="20" s="1"/>
  <c r="C127" i="20" s="1"/>
  <c r="C128" i="20" s="1"/>
  <c r="C129" i="20" s="1"/>
  <c r="C130" i="20" s="1"/>
  <c r="C131" i="20" s="1"/>
  <c r="C132" i="20" s="1"/>
  <c r="C133" i="20" s="1"/>
  <c r="C134" i="20" s="1"/>
  <c r="C135" i="20" s="1"/>
  <c r="C136" i="20" s="1"/>
  <c r="C137" i="20" s="1"/>
  <c r="C138" i="20" s="1"/>
  <c r="C139" i="20" s="1"/>
  <c r="C140" i="20" s="1"/>
  <c r="C141" i="20" s="1"/>
  <c r="C142" i="20" s="1"/>
  <c r="C143" i="20" s="1"/>
  <c r="C144" i="20" s="1"/>
  <c r="C145" i="20" s="1"/>
  <c r="C146" i="20" s="1"/>
  <c r="C147" i="20" s="1"/>
  <c r="C148" i="20" s="1"/>
  <c r="C149" i="20" s="1"/>
  <c r="C150" i="20" s="1"/>
  <c r="C151" i="20" s="1"/>
  <c r="C152" i="20" s="1"/>
  <c r="C153" i="20" s="1"/>
  <c r="C154" i="20" s="1"/>
  <c r="C155" i="20" s="1"/>
  <c r="C156" i="20" s="1"/>
  <c r="C157" i="20" s="1"/>
  <c r="C158" i="20" s="1"/>
  <c r="C159" i="20" s="1"/>
  <c r="K95" i="20"/>
  <c r="I94" i="20"/>
  <c r="O81" i="20"/>
  <c r="N81" i="20"/>
  <c r="G22" i="50"/>
  <c r="G23" i="50" s="1"/>
  <c r="G24" i="50" s="1"/>
  <c r="G25" i="50" s="1"/>
  <c r="G26" i="50" s="1"/>
  <c r="G27" i="50" s="1"/>
  <c r="G28" i="50" s="1"/>
  <c r="G29" i="50" s="1"/>
  <c r="G30" i="50" s="1"/>
  <c r="G31" i="50" s="1"/>
  <c r="G32" i="50" s="1"/>
  <c r="F21" i="50"/>
  <c r="F22" i="50" s="1"/>
  <c r="F23" i="50" s="1"/>
  <c r="F24" i="50" s="1"/>
  <c r="F25" i="50" s="1"/>
  <c r="H10" i="50"/>
  <c r="D21" i="50" s="1"/>
  <c r="F10" i="50"/>
  <c r="B10" i="50"/>
  <c r="G22" i="49"/>
  <c r="G23" i="49" s="1"/>
  <c r="G24" i="49" s="1"/>
  <c r="G25" i="49" s="1"/>
  <c r="G26" i="49" s="1"/>
  <c r="G27" i="49" s="1"/>
  <c r="G28" i="49" s="1"/>
  <c r="G29" i="49" s="1"/>
  <c r="G30" i="49" s="1"/>
  <c r="G31" i="49" s="1"/>
  <c r="G32" i="49" s="1"/>
  <c r="F21" i="49"/>
  <c r="F22" i="49" s="1"/>
  <c r="F23" i="49" s="1"/>
  <c r="F24" i="49" s="1"/>
  <c r="F25" i="49" s="1"/>
  <c r="H10" i="49"/>
  <c r="D21" i="49" s="1"/>
  <c r="F10" i="49"/>
  <c r="B10" i="49"/>
  <c r="G22" i="47"/>
  <c r="G23" i="47" s="1"/>
  <c r="G24" i="47" s="1"/>
  <c r="G25" i="47" s="1"/>
  <c r="G26" i="47" s="1"/>
  <c r="G27" i="47" s="1"/>
  <c r="G28" i="47" s="1"/>
  <c r="G29" i="47" s="1"/>
  <c r="G30" i="47" s="1"/>
  <c r="G31" i="47" s="1"/>
  <c r="G32" i="47" s="1"/>
  <c r="F21" i="47"/>
  <c r="F22" i="47" s="1"/>
  <c r="F23" i="47" s="1"/>
  <c r="F24" i="47" s="1"/>
  <c r="H10" i="47"/>
  <c r="D21" i="47" s="1"/>
  <c r="F10" i="47"/>
  <c r="B10" i="47"/>
  <c r="M64" i="11"/>
  <c r="M54" i="11"/>
  <c r="E51" i="11"/>
  <c r="E53" i="11" s="1"/>
  <c r="E55" i="11" s="1"/>
  <c r="C50" i="11"/>
  <c r="F27" i="10"/>
  <c r="F23" i="10"/>
  <c r="F19" i="10"/>
  <c r="F15" i="10"/>
  <c r="F11" i="10"/>
  <c r="K44" i="6"/>
  <c r="E44" i="6" s="1"/>
  <c r="K53" i="6"/>
  <c r="E53" i="6" s="1"/>
  <c r="I42" i="35"/>
  <c r="G86" i="2" s="1"/>
  <c r="G42" i="41"/>
  <c r="F42" i="41"/>
  <c r="E42" i="41"/>
  <c r="D42" i="41"/>
  <c r="C42" i="41"/>
  <c r="F23" i="41"/>
  <c r="L267" i="2" s="1"/>
  <c r="E23" i="41"/>
  <c r="L266" i="2" s="1"/>
  <c r="D23" i="41"/>
  <c r="L265" i="2" s="1"/>
  <c r="C23" i="41"/>
  <c r="L264" i="2" s="1"/>
  <c r="F62" i="35"/>
  <c r="D62" i="35"/>
  <c r="C62" i="35"/>
  <c r="L236" i="2" s="1"/>
  <c r="K42" i="35"/>
  <c r="G88" i="2" s="1"/>
  <c r="J42" i="35"/>
  <c r="G87" i="2" s="1"/>
  <c r="H42" i="35"/>
  <c r="G85" i="2" s="1"/>
  <c r="L85" i="2" s="1"/>
  <c r="G42" i="35"/>
  <c r="G84" i="2" s="1"/>
  <c r="L84" i="2" s="1"/>
  <c r="F42" i="35"/>
  <c r="G83" i="2" s="1"/>
  <c r="E42" i="35"/>
  <c r="G82" i="2" s="1"/>
  <c r="D42" i="35"/>
  <c r="G81" i="2" s="1"/>
  <c r="L81" i="2" s="1"/>
  <c r="C42" i="35"/>
  <c r="G80" i="2" s="1"/>
  <c r="K23" i="35"/>
  <c r="G74" i="2" s="1"/>
  <c r="J23" i="35"/>
  <c r="G73" i="2" s="1"/>
  <c r="H23" i="35"/>
  <c r="G71" i="2" s="1"/>
  <c r="L71" i="2" s="1"/>
  <c r="G23" i="35"/>
  <c r="G70" i="2" s="1"/>
  <c r="L70" i="2" s="1"/>
  <c r="F23" i="35"/>
  <c r="G69" i="2" s="1"/>
  <c r="E23" i="35"/>
  <c r="G68" i="2" s="1"/>
  <c r="C23" i="35"/>
  <c r="G66" i="2" s="1"/>
  <c r="F17" i="48"/>
  <c r="B14" i="48"/>
  <c r="A6" i="48"/>
  <c r="K41" i="48"/>
  <c r="K37" i="48"/>
  <c r="E28" i="48"/>
  <c r="A23" i="48"/>
  <c r="A24" i="48" s="1"/>
  <c r="A25" i="48" s="1"/>
  <c r="A26" i="48" s="1"/>
  <c r="A27" i="48" s="1"/>
  <c r="B28" i="48" s="1"/>
  <c r="E20" i="48"/>
  <c r="A4" i="48"/>
  <c r="G67" i="2"/>
  <c r="L67" i="2" s="1"/>
  <c r="C63" i="41"/>
  <c r="B48" i="41"/>
  <c r="I29" i="30"/>
  <c r="A6" i="11"/>
  <c r="A4" i="41"/>
  <c r="A6" i="13"/>
  <c r="A6" i="20"/>
  <c r="A6" i="10"/>
  <c r="A6" i="9"/>
  <c r="A6" i="8"/>
  <c r="B36" i="8" s="1"/>
  <c r="A6" i="7"/>
  <c r="B26" i="7" s="1"/>
  <c r="A6" i="6"/>
  <c r="B1" i="39"/>
  <c r="B1" i="38"/>
  <c r="A6" i="5"/>
  <c r="A4" i="35"/>
  <c r="B3" i="39"/>
  <c r="Q10" i="39"/>
  <c r="Q10" i="38"/>
  <c r="M10" i="39"/>
  <c r="M10" i="38"/>
  <c r="F13" i="39"/>
  <c r="E13" i="39"/>
  <c r="E13" i="38"/>
  <c r="D13" i="39"/>
  <c r="D13" i="38"/>
  <c r="C13" i="39"/>
  <c r="C13" i="38"/>
  <c r="M126" i="39"/>
  <c r="D43" i="5"/>
  <c r="D42" i="5"/>
  <c r="D27" i="5"/>
  <c r="D19" i="5"/>
  <c r="F87" i="35"/>
  <c r="F85" i="35"/>
  <c r="S122" i="38"/>
  <c r="S128" i="38" s="1"/>
  <c r="R122" i="38"/>
  <c r="R128" i="38" s="1"/>
  <c r="Q122" i="38"/>
  <c r="Q128" i="38" s="1"/>
  <c r="S56" i="38"/>
  <c r="R56" i="38"/>
  <c r="Q56" i="38"/>
  <c r="F13" i="38"/>
  <c r="B3" i="38"/>
  <c r="A57" i="38"/>
  <c r="D26" i="5" s="1"/>
  <c r="A125" i="38"/>
  <c r="A128" i="38" s="1"/>
  <c r="D35" i="5" s="1"/>
  <c r="A62" i="38"/>
  <c r="A63" i="38" s="1"/>
  <c r="A64" i="38" s="1"/>
  <c r="A65" i="38" s="1"/>
  <c r="A66" i="38" s="1"/>
  <c r="A67" i="38" s="1"/>
  <c r="A68" i="38" s="1"/>
  <c r="A69" i="38" s="1"/>
  <c r="A70" i="38" s="1"/>
  <c r="A71" i="38" s="1"/>
  <c r="A72" i="38" s="1"/>
  <c r="A73" i="38" s="1"/>
  <c r="A74" i="38" s="1"/>
  <c r="A75" i="38" s="1"/>
  <c r="A76" i="38" s="1"/>
  <c r="A77" i="38" s="1"/>
  <c r="A78" i="38" s="1"/>
  <c r="A79" i="38" s="1"/>
  <c r="A80" i="38" s="1"/>
  <c r="A81" i="38" s="1"/>
  <c r="A82" i="38" s="1"/>
  <c r="A83" i="38" s="1"/>
  <c r="A84" i="38" s="1"/>
  <c r="G18" i="5"/>
  <c r="E18" i="5"/>
  <c r="K124" i="39"/>
  <c r="J124" i="39"/>
  <c r="I124" i="39"/>
  <c r="D124" i="39"/>
  <c r="C124" i="39"/>
  <c r="S142" i="38"/>
  <c r="R142" i="38"/>
  <c r="E52" i="5" s="1"/>
  <c r="Q142" i="38"/>
  <c r="O142" i="38"/>
  <c r="N142" i="38"/>
  <c r="G52" i="5" s="1"/>
  <c r="M142" i="38"/>
  <c r="F142" i="38"/>
  <c r="E142" i="38"/>
  <c r="K140" i="38"/>
  <c r="J140" i="38"/>
  <c r="I140" i="38"/>
  <c r="D140" i="38"/>
  <c r="C140" i="38"/>
  <c r="K139" i="38"/>
  <c r="J139" i="38"/>
  <c r="I139" i="38"/>
  <c r="D139" i="38"/>
  <c r="C139" i="38"/>
  <c r="K125" i="38"/>
  <c r="J125" i="38"/>
  <c r="I125" i="38"/>
  <c r="D125" i="38"/>
  <c r="C125" i="38"/>
  <c r="F122" i="38"/>
  <c r="F128" i="38" s="1"/>
  <c r="K119" i="38"/>
  <c r="J119" i="38"/>
  <c r="J118" i="38"/>
  <c r="I118" i="38"/>
  <c r="K113" i="38"/>
  <c r="J113" i="38"/>
  <c r="I110" i="38"/>
  <c r="J110" i="38"/>
  <c r="S23" i="38"/>
  <c r="R23" i="38"/>
  <c r="Q23" i="38"/>
  <c r="O23" i="38"/>
  <c r="N23" i="38"/>
  <c r="M23" i="38"/>
  <c r="F21" i="38"/>
  <c r="E21" i="38"/>
  <c r="F20" i="38"/>
  <c r="E20" i="38"/>
  <c r="F19" i="38"/>
  <c r="E19" i="38"/>
  <c r="K17" i="38"/>
  <c r="K23" i="38" s="1"/>
  <c r="J17" i="38"/>
  <c r="J23" i="38" s="1"/>
  <c r="I17" i="38"/>
  <c r="I23" i="38" s="1"/>
  <c r="D17" i="38"/>
  <c r="D23" i="38" s="1"/>
  <c r="C17" i="38"/>
  <c r="C23" i="38" s="1"/>
  <c r="A24" i="38"/>
  <c r="D18" i="5" s="1"/>
  <c r="Q27" i="21"/>
  <c r="Q22" i="21"/>
  <c r="Q17" i="21"/>
  <c r="A2" i="41"/>
  <c r="A11" i="41"/>
  <c r="A12" i="41" s="1"/>
  <c r="A13" i="41" s="1"/>
  <c r="A14" i="41" s="1"/>
  <c r="A15" i="41" s="1"/>
  <c r="A16" i="41" s="1"/>
  <c r="A17" i="41" s="1"/>
  <c r="A18" i="41" s="1"/>
  <c r="A19" i="41" s="1"/>
  <c r="A20" i="41" s="1"/>
  <c r="A21" i="41" s="1"/>
  <c r="A22" i="41" s="1"/>
  <c r="A23" i="41" s="1"/>
  <c r="E267" i="2" s="1"/>
  <c r="G12" i="41"/>
  <c r="G13" i="41"/>
  <c r="G16" i="41"/>
  <c r="G17" i="41"/>
  <c r="G18" i="41"/>
  <c r="G21" i="41"/>
  <c r="G22" i="41"/>
  <c r="H29" i="41"/>
  <c r="H31" i="41"/>
  <c r="H33" i="41"/>
  <c r="H35" i="41"/>
  <c r="H37" i="41"/>
  <c r="H39" i="41"/>
  <c r="H41" i="41"/>
  <c r="E66" i="41"/>
  <c r="E67" i="41"/>
  <c r="E68" i="41"/>
  <c r="E69" i="41"/>
  <c r="E70" i="41"/>
  <c r="E71" i="41"/>
  <c r="E72" i="41"/>
  <c r="F73" i="41"/>
  <c r="C74" i="41"/>
  <c r="E50" i="41" s="1"/>
  <c r="D74" i="41"/>
  <c r="B85" i="41"/>
  <c r="B86" i="41"/>
  <c r="B87" i="41"/>
  <c r="C88" i="41"/>
  <c r="C89" i="41" s="1"/>
  <c r="D88" i="41"/>
  <c r="B91" i="41"/>
  <c r="B92" i="41"/>
  <c r="B93" i="41"/>
  <c r="C94" i="41"/>
  <c r="D94" i="41"/>
  <c r="D95" i="41" s="1"/>
  <c r="B97" i="41"/>
  <c r="B98" i="41"/>
  <c r="B99" i="41"/>
  <c r="C100" i="41"/>
  <c r="C101" i="41" s="1"/>
  <c r="D100" i="41"/>
  <c r="G20" i="41"/>
  <c r="G10" i="41"/>
  <c r="H40" i="41"/>
  <c r="H38" i="41"/>
  <c r="H36" i="41"/>
  <c r="H34" i="41"/>
  <c r="H32" i="41"/>
  <c r="H30" i="41"/>
  <c r="G14" i="41"/>
  <c r="G19" i="41"/>
  <c r="G15" i="41"/>
  <c r="G11" i="41"/>
  <c r="E115" i="2"/>
  <c r="E88" i="35"/>
  <c r="D88" i="35"/>
  <c r="E67" i="35"/>
  <c r="F67" i="35"/>
  <c r="D67" i="35"/>
  <c r="A69" i="35"/>
  <c r="A71" i="35" s="1"/>
  <c r="A75" i="35" s="1"/>
  <c r="A76" i="35" s="1"/>
  <c r="A77" i="35" s="1"/>
  <c r="A78" i="35" s="1"/>
  <c r="A79" i="35" s="1"/>
  <c r="A80" i="35" s="1"/>
  <c r="E80" i="35"/>
  <c r="D80" i="35"/>
  <c r="F79" i="35"/>
  <c r="F78" i="35"/>
  <c r="F77" i="35"/>
  <c r="F76" i="35"/>
  <c r="F75" i="35"/>
  <c r="F71" i="35"/>
  <c r="L111" i="2" s="1"/>
  <c r="F69" i="35"/>
  <c r="G111" i="2" s="1"/>
  <c r="A11" i="35"/>
  <c r="A12" i="35" s="1"/>
  <c r="A13" i="35" s="1"/>
  <c r="A14" i="35" s="1"/>
  <c r="A15" i="35" s="1"/>
  <c r="A16" i="35" s="1"/>
  <c r="A17" i="35" s="1"/>
  <c r="A18" i="35" s="1"/>
  <c r="A19" i="35" s="1"/>
  <c r="A20" i="35" s="1"/>
  <c r="A21" i="35" s="1"/>
  <c r="A22" i="35" s="1"/>
  <c r="A23" i="35" s="1"/>
  <c r="A2" i="35"/>
  <c r="I57" i="30"/>
  <c r="I56" i="30"/>
  <c r="I53" i="30"/>
  <c r="I52" i="30"/>
  <c r="I51" i="30"/>
  <c r="I46" i="30"/>
  <c r="I45" i="30"/>
  <c r="I44" i="30"/>
  <c r="I43" i="30"/>
  <c r="I42" i="30"/>
  <c r="I41" i="30"/>
  <c r="I40" i="30"/>
  <c r="I39" i="30"/>
  <c r="B21" i="7"/>
  <c r="K27" i="8"/>
  <c r="K31" i="8" s="1"/>
  <c r="G15" i="2" s="1"/>
  <c r="L15" i="2" s="1"/>
  <c r="I27" i="8"/>
  <c r="I31" i="8" s="1"/>
  <c r="B11" i="7"/>
  <c r="E67" i="30"/>
  <c r="E27" i="11" s="1"/>
  <c r="I27" i="11" s="1"/>
  <c r="O83" i="13"/>
  <c r="P83" i="13"/>
  <c r="J21" i="8"/>
  <c r="J19" i="8"/>
  <c r="J17" i="8"/>
  <c r="J15" i="8"/>
  <c r="J13" i="8"/>
  <c r="L89" i="13"/>
  <c r="L97" i="13"/>
  <c r="C102" i="13"/>
  <c r="C103" i="13" s="1"/>
  <c r="C104" i="13" s="1"/>
  <c r="C105" i="13" s="1"/>
  <c r="C106" i="13" s="1"/>
  <c r="C107" i="13" s="1"/>
  <c r="C108" i="13" s="1"/>
  <c r="C109" i="13" s="1"/>
  <c r="C110" i="13" s="1"/>
  <c r="C111" i="13" s="1"/>
  <c r="C112" i="13" s="1"/>
  <c r="C113" i="13" s="1"/>
  <c r="C114" i="13" s="1"/>
  <c r="C115" i="13" s="1"/>
  <c r="C116" i="13" s="1"/>
  <c r="C117" i="13" s="1"/>
  <c r="C118" i="13" s="1"/>
  <c r="C119" i="13" s="1"/>
  <c r="C120" i="13" s="1"/>
  <c r="C121" i="13" s="1"/>
  <c r="C122" i="13" s="1"/>
  <c r="C123" i="13" s="1"/>
  <c r="C124" i="13" s="1"/>
  <c r="C125" i="13" s="1"/>
  <c r="C126" i="13" s="1"/>
  <c r="C127" i="13" s="1"/>
  <c r="C128" i="13" s="1"/>
  <c r="C129" i="13" s="1"/>
  <c r="C130" i="13" s="1"/>
  <c r="C131" i="13" s="1"/>
  <c r="D102" i="13"/>
  <c r="M119" i="13"/>
  <c r="O119" i="13"/>
  <c r="M120" i="13"/>
  <c r="O120" i="13"/>
  <c r="M121" i="13"/>
  <c r="O121" i="13"/>
  <c r="M122" i="13"/>
  <c r="O122" i="13"/>
  <c r="M123" i="13"/>
  <c r="O123" i="13"/>
  <c r="M124" i="13"/>
  <c r="O124" i="13"/>
  <c r="M125" i="13"/>
  <c r="O125" i="13"/>
  <c r="M126" i="13"/>
  <c r="O126" i="13"/>
  <c r="M127" i="13"/>
  <c r="O127" i="13"/>
  <c r="M128" i="13"/>
  <c r="O128" i="13"/>
  <c r="M129" i="13"/>
  <c r="O129" i="13"/>
  <c r="M130" i="13"/>
  <c r="O130" i="13"/>
  <c r="M131" i="13"/>
  <c r="O131" i="13"/>
  <c r="M132" i="13"/>
  <c r="O132" i="13"/>
  <c r="M133" i="13"/>
  <c r="O133" i="13"/>
  <c r="M134" i="13"/>
  <c r="O134" i="13"/>
  <c r="M135" i="13"/>
  <c r="O135" i="13"/>
  <c r="M136" i="13"/>
  <c r="O136" i="13"/>
  <c r="M137" i="13"/>
  <c r="O137" i="13"/>
  <c r="M138" i="13"/>
  <c r="O138" i="13"/>
  <c r="M139" i="13"/>
  <c r="O139" i="13"/>
  <c r="M140" i="13"/>
  <c r="O140" i="13"/>
  <c r="M141" i="13"/>
  <c r="O141" i="13"/>
  <c r="M142" i="13"/>
  <c r="O142" i="13"/>
  <c r="M143" i="13"/>
  <c r="O143" i="13"/>
  <c r="M144" i="13"/>
  <c r="O144" i="13"/>
  <c r="M145" i="13"/>
  <c r="O145" i="13"/>
  <c r="M146" i="13"/>
  <c r="O146" i="13"/>
  <c r="M147" i="13"/>
  <c r="O147" i="13"/>
  <c r="M148" i="13"/>
  <c r="O148" i="13"/>
  <c r="M149" i="13"/>
  <c r="O149" i="13"/>
  <c r="M150" i="13"/>
  <c r="O150" i="13"/>
  <c r="M151" i="13"/>
  <c r="O151" i="13"/>
  <c r="M152" i="13"/>
  <c r="O152" i="13"/>
  <c r="M153" i="13"/>
  <c r="O153" i="13"/>
  <c r="M154" i="13"/>
  <c r="O154" i="13"/>
  <c r="M155" i="13"/>
  <c r="O155" i="13"/>
  <c r="M156" i="13"/>
  <c r="O156" i="13"/>
  <c r="M157" i="13"/>
  <c r="O157" i="13"/>
  <c r="M158" i="13"/>
  <c r="O158" i="13"/>
  <c r="M159" i="13"/>
  <c r="O159" i="13"/>
  <c r="M160" i="13"/>
  <c r="O160" i="13"/>
  <c r="M161" i="13"/>
  <c r="O161" i="13"/>
  <c r="A6" i="30"/>
  <c r="E111" i="30"/>
  <c r="E40" i="11" s="1"/>
  <c r="M40" i="11" s="1"/>
  <c r="E104" i="30"/>
  <c r="E38" i="11" s="1"/>
  <c r="K38" i="11" s="1"/>
  <c r="E87" i="30"/>
  <c r="E36" i="11" s="1"/>
  <c r="K36" i="11" s="1"/>
  <c r="E79" i="30"/>
  <c r="E34" i="11" s="1"/>
  <c r="M34" i="11" s="1"/>
  <c r="E69" i="30"/>
  <c r="E28" i="11" s="1"/>
  <c r="I28" i="11" s="1"/>
  <c r="E54" i="30"/>
  <c r="E23" i="11" s="1"/>
  <c r="G23" i="11" s="1"/>
  <c r="D64" i="9"/>
  <c r="G163" i="2" s="1"/>
  <c r="D21" i="9"/>
  <c r="G154" i="2" s="1"/>
  <c r="K45" i="6"/>
  <c r="E45" i="6" s="1"/>
  <c r="K52" i="6"/>
  <c r="E52" i="6" s="1"/>
  <c r="D311" i="2"/>
  <c r="L26" i="20"/>
  <c r="A4" i="21"/>
  <c r="A4" i="30"/>
  <c r="A4" i="11"/>
  <c r="A4" i="10"/>
  <c r="A4" i="9"/>
  <c r="A4" i="8"/>
  <c r="A4" i="7"/>
  <c r="A4" i="6"/>
  <c r="A4" i="5"/>
  <c r="F7" i="2"/>
  <c r="F56" i="2" s="1"/>
  <c r="F136" i="2" s="1"/>
  <c r="F226" i="2" s="1"/>
  <c r="F280" i="2" s="1"/>
  <c r="F16" i="13"/>
  <c r="F18" i="13" s="1"/>
  <c r="E23" i="13" s="1"/>
  <c r="F16" i="20"/>
  <c r="F18" i="20" s="1"/>
  <c r="E23" i="20" s="1"/>
  <c r="L18" i="2"/>
  <c r="B13" i="2"/>
  <c r="B15" i="2" s="1"/>
  <c r="J92" i="6"/>
  <c r="J32" i="6" s="1"/>
  <c r="K60" i="6"/>
  <c r="E60" i="6" s="1"/>
  <c r="D62" i="6"/>
  <c r="D31" i="6" s="1"/>
  <c r="K57" i="6"/>
  <c r="E57" i="6" s="1"/>
  <c r="O8" i="20"/>
  <c r="E48" i="30"/>
  <c r="E22" i="11" s="1"/>
  <c r="G22" i="11" s="1"/>
  <c r="E15" i="30"/>
  <c r="E75" i="30"/>
  <c r="E31" i="11" s="1"/>
  <c r="M31" i="11" s="1"/>
  <c r="L249" i="2"/>
  <c r="L251" i="2"/>
  <c r="L253" i="2"/>
  <c r="L254" i="2"/>
  <c r="F255" i="2"/>
  <c r="G255" i="2"/>
  <c r="K51" i="6"/>
  <c r="E51" i="6" s="1"/>
  <c r="K43" i="6"/>
  <c r="E43" i="6" s="1"/>
  <c r="K46" i="6"/>
  <c r="E46" i="6" s="1"/>
  <c r="C21" i="7"/>
  <c r="C23" i="7" s="1"/>
  <c r="G129" i="2" s="1"/>
  <c r="L129" i="2" s="1"/>
  <c r="E65" i="30"/>
  <c r="E26" i="11" s="1"/>
  <c r="I26" i="11" s="1"/>
  <c r="E37" i="30"/>
  <c r="E21" i="11" s="1"/>
  <c r="G21" i="11" s="1"/>
  <c r="E107" i="30"/>
  <c r="E39" i="11" s="1"/>
  <c r="M39" i="11" s="1"/>
  <c r="E114" i="30"/>
  <c r="E41" i="11" s="1"/>
  <c r="M41" i="11" s="1"/>
  <c r="E83" i="30"/>
  <c r="E35" i="11" s="1"/>
  <c r="K35" i="11" s="1"/>
  <c r="E97" i="30"/>
  <c r="E37" i="11" s="1"/>
  <c r="K37" i="11" s="1"/>
  <c r="G169" i="2"/>
  <c r="F74" i="9"/>
  <c r="G170" i="2" s="1"/>
  <c r="L170" i="2" s="1"/>
  <c r="O17" i="21"/>
  <c r="O22" i="21"/>
  <c r="O27" i="21"/>
  <c r="I17" i="6"/>
  <c r="G119" i="2" s="1"/>
  <c r="I21" i="6"/>
  <c r="G121" i="2" s="1"/>
  <c r="I23" i="6"/>
  <c r="G122" i="2" s="1"/>
  <c r="D74" i="9"/>
  <c r="G164" i="2" s="1"/>
  <c r="A24" i="9"/>
  <c r="A25" i="9" s="1"/>
  <c r="A26" i="9" s="1"/>
  <c r="A27" i="9" s="1"/>
  <c r="A28" i="9" s="1"/>
  <c r="A29" i="9" s="1"/>
  <c r="A30" i="9" s="1"/>
  <c r="A31" i="9" s="1"/>
  <c r="A32" i="9" s="1"/>
  <c r="A33" i="9" s="1"/>
  <c r="A15" i="7"/>
  <c r="A17" i="7" s="1"/>
  <c r="A18" i="7" s="1"/>
  <c r="A19" i="7" s="1"/>
  <c r="A21" i="7" s="1"/>
  <c r="A17" i="6"/>
  <c r="A21" i="6" s="1"/>
  <c r="A23" i="6" s="1"/>
  <c r="A29" i="6" s="1"/>
  <c r="A31" i="6" s="1"/>
  <c r="A32" i="6" s="1"/>
  <c r="A33" i="6" s="1"/>
  <c r="A39"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8"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K50" i="6"/>
  <c r="E50" i="6" s="1"/>
  <c r="K42" i="6"/>
  <c r="E42" i="6" s="1"/>
  <c r="K49" i="6"/>
  <c r="E49" i="6" s="1"/>
  <c r="A15" i="30"/>
  <c r="A25" i="30" s="1"/>
  <c r="A27" i="30" s="1"/>
  <c r="A37" i="30" s="1"/>
  <c r="A48" i="30" s="1"/>
  <c r="A55" i="30" s="1"/>
  <c r="A64" i="30" s="1"/>
  <c r="A65" i="30" s="1"/>
  <c r="A67" i="30" s="1"/>
  <c r="A69" i="30" s="1"/>
  <c r="A75" i="30" s="1"/>
  <c r="A76" i="30" s="1"/>
  <c r="A78" i="30" s="1"/>
  <c r="A79" i="30" s="1"/>
  <c r="A83" i="30" s="1"/>
  <c r="A87" i="30" s="1"/>
  <c r="A97" i="30" s="1"/>
  <c r="A104" i="30" s="1"/>
  <c r="A107" i="30" s="1"/>
  <c r="A111" i="30" s="1"/>
  <c r="A114" i="30" s="1"/>
  <c r="A117" i="30" s="1"/>
  <c r="G215" i="2"/>
  <c r="L215" i="2" s="1"/>
  <c r="A17" i="11"/>
  <c r="A19" i="11" s="1"/>
  <c r="A20" i="11" s="1"/>
  <c r="A21" i="11" s="1"/>
  <c r="A22" i="11" s="1"/>
  <c r="A23" i="11" s="1"/>
  <c r="A25" i="11" s="1"/>
  <c r="A26" i="11" s="1"/>
  <c r="A27" i="11" s="1"/>
  <c r="A28" i="11" s="1"/>
  <c r="A30" i="11" s="1"/>
  <c r="A31" i="11" s="1"/>
  <c r="A33" i="11" s="1"/>
  <c r="A34" i="11" s="1"/>
  <c r="A35" i="11" s="1"/>
  <c r="A36" i="11" s="1"/>
  <c r="A37" i="11" s="1"/>
  <c r="A38" i="11" s="1"/>
  <c r="A39" i="11" s="1"/>
  <c r="A40" i="11" s="1"/>
  <c r="A41" i="11" s="1"/>
  <c r="A42" i="11" s="1"/>
  <c r="A43" i="11" s="1"/>
  <c r="D32" i="6"/>
  <c r="I50" i="5"/>
  <c r="J29" i="8"/>
  <c r="A4" i="13"/>
  <c r="A4" i="20"/>
  <c r="C60" i="13"/>
  <c r="L180" i="2"/>
  <c r="G167" i="2"/>
  <c r="K33" i="21"/>
  <c r="A22" i="21"/>
  <c r="A27" i="21" s="1"/>
  <c r="A33" i="21" s="1"/>
  <c r="D217" i="2" s="1"/>
  <c r="L175" i="2"/>
  <c r="A6" i="21"/>
  <c r="D12" i="9"/>
  <c r="C32" i="6"/>
  <c r="I12" i="6"/>
  <c r="I10" i="5"/>
  <c r="C9" i="7"/>
  <c r="M23" i="13"/>
  <c r="M20" i="13"/>
  <c r="N8" i="20"/>
  <c r="C11" i="20"/>
  <c r="C14" i="20"/>
  <c r="C18" i="20"/>
  <c r="C26" i="20"/>
  <c r="C32" i="20"/>
  <c r="C42" i="20"/>
  <c r="C43" i="20"/>
  <c r="C53" i="20"/>
  <c r="C55" i="20"/>
  <c r="C58" i="20"/>
  <c r="C60" i="20"/>
  <c r="C62" i="20"/>
  <c r="C65" i="20"/>
  <c r="C66" i="20"/>
  <c r="C68" i="20"/>
  <c r="C69" i="20"/>
  <c r="C71" i="20"/>
  <c r="B6" i="14"/>
  <c r="H249" i="2"/>
  <c r="H250" i="2"/>
  <c r="D67" i="6"/>
  <c r="B65" i="6" s="1"/>
  <c r="G12" i="6"/>
  <c r="G10" i="5"/>
  <c r="B4" i="14"/>
  <c r="O8" i="13"/>
  <c r="P8" i="13"/>
  <c r="C11" i="13"/>
  <c r="C14" i="13"/>
  <c r="C18" i="13"/>
  <c r="C26" i="13"/>
  <c r="C32" i="13"/>
  <c r="C42" i="13"/>
  <c r="C43" i="13"/>
  <c r="C53" i="13"/>
  <c r="C55" i="13"/>
  <c r="C58" i="13"/>
  <c r="C62" i="13"/>
  <c r="C65" i="13"/>
  <c r="C66" i="13"/>
  <c r="C68" i="13"/>
  <c r="C69" i="13"/>
  <c r="C71" i="13"/>
  <c r="A4" i="12"/>
  <c r="A6" i="12"/>
  <c r="A3" i="6"/>
  <c r="A15" i="8"/>
  <c r="A17" i="8" s="1"/>
  <c r="A19" i="8" s="1"/>
  <c r="A21" i="8" s="1"/>
  <c r="A27" i="8" s="1"/>
  <c r="A29" i="8" s="1"/>
  <c r="A31" i="8" s="1"/>
  <c r="A39" i="8" s="1"/>
  <c r="E12" i="6"/>
  <c r="C31" i="6"/>
  <c r="D38" i="6"/>
  <c r="B36" i="6" s="1"/>
  <c r="E10" i="5"/>
  <c r="A17" i="5"/>
  <c r="A18" i="5" s="1"/>
  <c r="A19" i="5" s="1"/>
  <c r="F54" i="2"/>
  <c r="F134" i="2" s="1"/>
  <c r="F224" i="2" s="1"/>
  <c r="F278" i="2" s="1"/>
  <c r="F55" i="2"/>
  <c r="F135" i="2" s="1"/>
  <c r="F225" i="2" s="1"/>
  <c r="F279" i="2" s="1"/>
  <c r="F58" i="2"/>
  <c r="F138" i="2" s="1"/>
  <c r="F228" i="2" s="1"/>
  <c r="F282" i="2" s="1"/>
  <c r="B64" i="2"/>
  <c r="B144" i="2" s="1"/>
  <c r="B65" i="2"/>
  <c r="B145" i="2" s="1"/>
  <c r="D80" i="2"/>
  <c r="D94" i="2" s="1"/>
  <c r="D82" i="2"/>
  <c r="D95" i="2" s="1"/>
  <c r="D84" i="2"/>
  <c r="D96" i="2" s="1"/>
  <c r="D86" i="2"/>
  <c r="D97" i="2" s="1"/>
  <c r="D88" i="2"/>
  <c r="D98" i="2" s="1"/>
  <c r="E142" i="2"/>
  <c r="L142" i="2"/>
  <c r="E143" i="2"/>
  <c r="G143" i="2"/>
  <c r="I143" i="2"/>
  <c r="L143" i="2"/>
  <c r="G151" i="2"/>
  <c r="D181" i="2"/>
  <c r="H254" i="2"/>
  <c r="O126" i="39"/>
  <c r="N126" i="39"/>
  <c r="K118" i="38"/>
  <c r="I119" i="38"/>
  <c r="K110" i="38"/>
  <c r="I113" i="38"/>
  <c r="L179" i="2"/>
  <c r="E27" i="30"/>
  <c r="F117" i="30"/>
  <c r="I55" i="30"/>
  <c r="F56" i="38"/>
  <c r="E126" i="39"/>
  <c r="K48" i="6"/>
  <c r="E48" i="6" s="1"/>
  <c r="G92" i="6"/>
  <c r="G32" i="6" s="1"/>
  <c r="G33" i="6" s="1"/>
  <c r="G125" i="2" s="1"/>
  <c r="L125" i="2" s="1"/>
  <c r="K56" i="6"/>
  <c r="E56" i="6" s="1"/>
  <c r="I23" i="35"/>
  <c r="G72" i="2" s="1"/>
  <c r="I28" i="30"/>
  <c r="J964" i="13"/>
  <c r="E967" i="13" s="1"/>
  <c r="M1913" i="13"/>
  <c r="O1913" i="13"/>
  <c r="M1827" i="13"/>
  <c r="O1827" i="13"/>
  <c r="M1655" i="13"/>
  <c r="O1655" i="13"/>
  <c r="M1398" i="13"/>
  <c r="O1398" i="13"/>
  <c r="M1914" i="13"/>
  <c r="O1914" i="13"/>
  <c r="M1915" i="13"/>
  <c r="O1915" i="13"/>
  <c r="O1658" i="13"/>
  <c r="M1658" i="13"/>
  <c r="O1400" i="13"/>
  <c r="M1400" i="13"/>
  <c r="M1916" i="13"/>
  <c r="O1916" i="13"/>
  <c r="M972" i="13"/>
  <c r="O972" i="13"/>
  <c r="F578" i="13"/>
  <c r="G578" i="13" s="1"/>
  <c r="F579" i="13"/>
  <c r="G579" i="13" s="1"/>
  <c r="F580" i="13"/>
  <c r="I38" i="30"/>
  <c r="K54" i="6"/>
  <c r="E54" i="6" s="1"/>
  <c r="G62" i="6"/>
  <c r="G31" i="6" s="1"/>
  <c r="E122" i="38"/>
  <c r="E128" i="38" s="1"/>
  <c r="E56" i="38"/>
  <c r="I92" i="6"/>
  <c r="I32" i="6" s="1"/>
  <c r="E92" i="6"/>
  <c r="E32" i="6" s="1"/>
  <c r="K92" i="6"/>
  <c r="K32" i="6" s="1"/>
  <c r="I50" i="30"/>
  <c r="A85" i="38" l="1"/>
  <c r="A86" i="38" s="1"/>
  <c r="A87" i="38" s="1"/>
  <c r="A88" i="38" s="1"/>
  <c r="A89" i="38" s="1"/>
  <c r="A90" i="38" s="1"/>
  <c r="A91" i="38" s="1"/>
  <c r="A92" i="38" s="1"/>
  <c r="A93" i="38" s="1"/>
  <c r="A94" i="38" s="1"/>
  <c r="A95" i="38" s="1"/>
  <c r="A96" i="38" s="1"/>
  <c r="A97" i="38" s="1"/>
  <c r="A98" i="38" s="1"/>
  <c r="A99" i="38" s="1"/>
  <c r="A100" i="38" s="1"/>
  <c r="A101" i="38" s="1"/>
  <c r="A102" i="38" s="1"/>
  <c r="G112" i="38"/>
  <c r="G110" i="38"/>
  <c r="A29" i="35"/>
  <c r="A30" i="35" s="1"/>
  <c r="A31" i="35" s="1"/>
  <c r="A32" i="35" s="1"/>
  <c r="A33" i="35" s="1"/>
  <c r="A34" i="35" s="1"/>
  <c r="A35" i="35" s="1"/>
  <c r="A36" i="35" s="1"/>
  <c r="A37" i="35" s="1"/>
  <c r="A38" i="35" s="1"/>
  <c r="A39" i="35" s="1"/>
  <c r="A40" i="35" s="1"/>
  <c r="A41" i="35" s="1"/>
  <c r="A42" i="35" s="1"/>
  <c r="E84" i="2" s="1"/>
  <c r="E75" i="2"/>
  <c r="E76" i="2"/>
  <c r="G77" i="2"/>
  <c r="L80" i="2"/>
  <c r="G91" i="2"/>
  <c r="F30" i="10"/>
  <c r="F356" i="2" s="1"/>
  <c r="G197" i="2" s="1"/>
  <c r="A29" i="38"/>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G272" i="2"/>
  <c r="J272" i="2" s="1"/>
  <c r="E22" i="13" s="1"/>
  <c r="F48" i="13"/>
  <c r="G43" i="5"/>
  <c r="G41" i="5"/>
  <c r="L48" i="2"/>
  <c r="G122" i="39"/>
  <c r="G115" i="39"/>
  <c r="F967" i="13"/>
  <c r="G967" i="13" s="1"/>
  <c r="C1599" i="13"/>
  <c r="C1600" i="13" s="1"/>
  <c r="C1601" i="13" s="1"/>
  <c r="C1602" i="13" s="1"/>
  <c r="C1603" i="13" s="1"/>
  <c r="C1604" i="13" s="1"/>
  <c r="C1605" i="13" s="1"/>
  <c r="C1606" i="13" s="1"/>
  <c r="C1607" i="13" s="1"/>
  <c r="C1608" i="13" s="1"/>
  <c r="C1609" i="13" s="1"/>
  <c r="C1610" i="13" s="1"/>
  <c r="C1611" i="13" s="1"/>
  <c r="C1612" i="13" s="1"/>
  <c r="C1613" i="13" s="1"/>
  <c r="C1614" i="13" s="1"/>
  <c r="C1615" i="13" s="1"/>
  <c r="C1616" i="13" s="1"/>
  <c r="C1617" i="13" s="1"/>
  <c r="C1618" i="13" s="1"/>
  <c r="C1619" i="13" s="1"/>
  <c r="C1620" i="13" s="1"/>
  <c r="C1621" i="13" s="1"/>
  <c r="C1622" i="13" s="1"/>
  <c r="C1623" i="13" s="1"/>
  <c r="C1624" i="13" s="1"/>
  <c r="C1625" i="13" s="1"/>
  <c r="C1626" i="13" s="1"/>
  <c r="C1627" i="13" s="1"/>
  <c r="C1628" i="13" s="1"/>
  <c r="E111" i="2"/>
  <c r="F1655" i="13"/>
  <c r="D1656" i="13" s="1"/>
  <c r="G121" i="39"/>
  <c r="A28" i="48"/>
  <c r="A37" i="48" s="1"/>
  <c r="A39" i="48" s="1"/>
  <c r="E74" i="2"/>
  <c r="H21" i="47"/>
  <c r="K21" i="47" s="1"/>
  <c r="D22" i="47"/>
  <c r="D23" i="47" s="1"/>
  <c r="D24" i="47" s="1"/>
  <c r="D25" i="47" s="1"/>
  <c r="D26" i="47" s="1"/>
  <c r="D27" i="47" s="1"/>
  <c r="D28" i="47" s="1"/>
  <c r="D29" i="47" s="1"/>
  <c r="D30" i="47" s="1"/>
  <c r="D31" i="47" s="1"/>
  <c r="D32" i="47" s="1"/>
  <c r="G48" i="20"/>
  <c r="I54" i="47"/>
  <c r="I54" i="49"/>
  <c r="F1438" i="20"/>
  <c r="D1439" i="20" s="1"/>
  <c r="E1439" i="20" s="1"/>
  <c r="F1439" i="20" s="1"/>
  <c r="D1440" i="20" s="1"/>
  <c r="E42" i="5"/>
  <c r="G140" i="38"/>
  <c r="M783" i="13"/>
  <c r="N783" i="13"/>
  <c r="C825" i="13"/>
  <c r="C826" i="13" s="1"/>
  <c r="C827" i="13" s="1"/>
  <c r="C828" i="13" s="1"/>
  <c r="C829" i="13" s="1"/>
  <c r="C830" i="13" s="1"/>
  <c r="C831" i="13" s="1"/>
  <c r="C832" i="13" s="1"/>
  <c r="C833" i="13" s="1"/>
  <c r="C834" i="13" s="1"/>
  <c r="C835" i="13" s="1"/>
  <c r="C836" i="13" s="1"/>
  <c r="C837" i="13" s="1"/>
  <c r="C838" i="13" s="1"/>
  <c r="C839" i="13" s="1"/>
  <c r="C840" i="13" s="1"/>
  <c r="C841" i="13" s="1"/>
  <c r="C842" i="13" s="1"/>
  <c r="C843" i="13" s="1"/>
  <c r="C844" i="13" s="1"/>
  <c r="C845" i="13" s="1"/>
  <c r="C846" i="13" s="1"/>
  <c r="C847" i="13" s="1"/>
  <c r="C848" i="13" s="1"/>
  <c r="C849" i="13" s="1"/>
  <c r="C850" i="13" s="1"/>
  <c r="C851" i="13" s="1"/>
  <c r="C852" i="13" s="1"/>
  <c r="C853" i="13" s="1"/>
  <c r="C854" i="13" s="1"/>
  <c r="M1901" i="13"/>
  <c r="N1901" i="13"/>
  <c r="I37" i="30"/>
  <c r="N1557" i="13"/>
  <c r="O1557" i="13" s="1"/>
  <c r="I54" i="30"/>
  <c r="G155" i="2"/>
  <c r="G118" i="2" s="1"/>
  <c r="E49" i="5"/>
  <c r="E51" i="5" s="1"/>
  <c r="C1169" i="13"/>
  <c r="C1170" i="13" s="1"/>
  <c r="C1171" i="13" s="1"/>
  <c r="C1172" i="13" s="1"/>
  <c r="C1173" i="13" s="1"/>
  <c r="C1174" i="13" s="1"/>
  <c r="C1175" i="13" s="1"/>
  <c r="C1176" i="13" s="1"/>
  <c r="C1177" i="13" s="1"/>
  <c r="C1178" i="13" s="1"/>
  <c r="C1179" i="13" s="1"/>
  <c r="C1180" i="13" s="1"/>
  <c r="C1181" i="13" s="1"/>
  <c r="C1182" i="13" s="1"/>
  <c r="C1183" i="13" s="1"/>
  <c r="C1184" i="13" s="1"/>
  <c r="C1185" i="13" s="1"/>
  <c r="C1186" i="13" s="1"/>
  <c r="C1187" i="13" s="1"/>
  <c r="C1188" i="13" s="1"/>
  <c r="C1189" i="13" s="1"/>
  <c r="C1190" i="13" s="1"/>
  <c r="C1191" i="13" s="1"/>
  <c r="C1192" i="13" s="1"/>
  <c r="C1193" i="13" s="1"/>
  <c r="C1194" i="13" s="1"/>
  <c r="C1195" i="13" s="1"/>
  <c r="C1196" i="13" s="1"/>
  <c r="C1197" i="13" s="1"/>
  <c r="C1198" i="13" s="1"/>
  <c r="M521" i="13"/>
  <c r="M1385" i="13"/>
  <c r="I54" i="50"/>
  <c r="A126" i="38"/>
  <c r="A129" i="38"/>
  <c r="A131" i="38" s="1"/>
  <c r="A133" i="38" s="1"/>
  <c r="A135" i="38" s="1"/>
  <c r="A137" i="38" s="1"/>
  <c r="A138" i="38" s="1"/>
  <c r="A139" i="38" s="1"/>
  <c r="A140" i="38" s="1"/>
  <c r="A141" i="38" s="1"/>
  <c r="A142" i="38" s="1"/>
  <c r="D52" i="5" s="1"/>
  <c r="N521" i="13"/>
  <c r="N1385" i="13"/>
  <c r="D142" i="38"/>
  <c r="G114" i="39"/>
  <c r="M349" i="13"/>
  <c r="C391" i="13"/>
  <c r="C392" i="13" s="1"/>
  <c r="C393" i="13" s="1"/>
  <c r="C394" i="13" s="1"/>
  <c r="C395" i="13" s="1"/>
  <c r="C396" i="13" s="1"/>
  <c r="C397" i="13" s="1"/>
  <c r="C398" i="13" s="1"/>
  <c r="C399" i="13" s="1"/>
  <c r="C400" i="13" s="1"/>
  <c r="C401" i="13" s="1"/>
  <c r="C402" i="13" s="1"/>
  <c r="C403" i="13" s="1"/>
  <c r="C404" i="13" s="1"/>
  <c r="C405" i="13" s="1"/>
  <c r="C406" i="13" s="1"/>
  <c r="C407" i="13" s="1"/>
  <c r="C408" i="13" s="1"/>
  <c r="C409" i="13" s="1"/>
  <c r="C410" i="13" s="1"/>
  <c r="C411" i="13" s="1"/>
  <c r="C412" i="13" s="1"/>
  <c r="C413" i="13" s="1"/>
  <c r="C414" i="13" s="1"/>
  <c r="C415" i="13" s="1"/>
  <c r="C416" i="13" s="1"/>
  <c r="C417" i="13" s="1"/>
  <c r="C418" i="13" s="1"/>
  <c r="C419" i="13" s="1"/>
  <c r="C420" i="13" s="1"/>
  <c r="N349" i="13"/>
  <c r="E191" i="2"/>
  <c r="E192" i="2"/>
  <c r="A48" i="11"/>
  <c r="C305" i="13"/>
  <c r="C306" i="13" s="1"/>
  <c r="C307" i="13" s="1"/>
  <c r="C308" i="13" s="1"/>
  <c r="C309" i="13" s="1"/>
  <c r="C310" i="13" s="1"/>
  <c r="C311" i="13" s="1"/>
  <c r="C312" i="13" s="1"/>
  <c r="C313" i="13" s="1"/>
  <c r="C314" i="13" s="1"/>
  <c r="C315" i="13" s="1"/>
  <c r="C316" i="13" s="1"/>
  <c r="C317" i="13" s="1"/>
  <c r="C318" i="13" s="1"/>
  <c r="C319" i="13" s="1"/>
  <c r="C320" i="13" s="1"/>
  <c r="C321" i="13" s="1"/>
  <c r="C322" i="13" s="1"/>
  <c r="C323" i="13" s="1"/>
  <c r="C324" i="13" s="1"/>
  <c r="C325" i="13" s="1"/>
  <c r="C326" i="13" s="1"/>
  <c r="C327" i="13" s="1"/>
  <c r="C328" i="13" s="1"/>
  <c r="C329" i="13" s="1"/>
  <c r="C330" i="13" s="1"/>
  <c r="C331" i="13" s="1"/>
  <c r="C332" i="13" s="1"/>
  <c r="C333" i="13" s="1"/>
  <c r="C334" i="13" s="1"/>
  <c r="N263" i="13"/>
  <c r="C1255" i="13"/>
  <c r="C1256" i="13" s="1"/>
  <c r="C1257" i="13" s="1"/>
  <c r="C1258" i="13" s="1"/>
  <c r="C1259" i="13" s="1"/>
  <c r="C1260" i="13" s="1"/>
  <c r="C1261" i="13" s="1"/>
  <c r="C1262" i="13" s="1"/>
  <c r="C1263" i="13" s="1"/>
  <c r="C1264" i="13" s="1"/>
  <c r="C1265" i="13" s="1"/>
  <c r="C1266" i="13" s="1"/>
  <c r="C1267" i="13" s="1"/>
  <c r="C1268" i="13" s="1"/>
  <c r="C1269" i="13" s="1"/>
  <c r="C1270" i="13" s="1"/>
  <c r="C1271" i="13" s="1"/>
  <c r="C1272" i="13" s="1"/>
  <c r="C1273" i="13" s="1"/>
  <c r="C1274" i="13" s="1"/>
  <c r="C1275" i="13" s="1"/>
  <c r="C1276" i="13" s="1"/>
  <c r="C1277" i="13" s="1"/>
  <c r="C1278" i="13" s="1"/>
  <c r="C1279" i="13" s="1"/>
  <c r="C1280" i="13" s="1"/>
  <c r="C1281" i="13" s="1"/>
  <c r="C1282" i="13" s="1"/>
  <c r="C1283" i="13" s="1"/>
  <c r="C1284" i="13" s="1"/>
  <c r="N1213" i="13"/>
  <c r="E152" i="2"/>
  <c r="A36" i="9"/>
  <c r="A37" i="9" s="1"/>
  <c r="A38" i="9" s="1"/>
  <c r="A39" i="9" s="1"/>
  <c r="A40" i="9" s="1"/>
  <c r="A41" i="9" s="1"/>
  <c r="A42" i="9" s="1"/>
  <c r="A43" i="9" s="1"/>
  <c r="M90" i="13"/>
  <c r="C132" i="13"/>
  <c r="C133" i="13" s="1"/>
  <c r="C134" i="13" s="1"/>
  <c r="C135" i="13" s="1"/>
  <c r="C136" i="13" s="1"/>
  <c r="C137" i="13" s="1"/>
  <c r="C138" i="13" s="1"/>
  <c r="C139" i="13" s="1"/>
  <c r="C140" i="13" s="1"/>
  <c r="C141" i="13" s="1"/>
  <c r="C142" i="13" s="1"/>
  <c r="C143" i="13" s="1"/>
  <c r="C144" i="13" s="1"/>
  <c r="C145" i="13" s="1"/>
  <c r="C146" i="13" s="1"/>
  <c r="C147" i="13" s="1"/>
  <c r="C148" i="13" s="1"/>
  <c r="C149" i="13" s="1"/>
  <c r="C150" i="13" s="1"/>
  <c r="C151" i="13" s="1"/>
  <c r="C152" i="13" s="1"/>
  <c r="C153" i="13" s="1"/>
  <c r="C154" i="13" s="1"/>
  <c r="C155" i="13" s="1"/>
  <c r="C156" i="13" s="1"/>
  <c r="C157" i="13" s="1"/>
  <c r="C158" i="13" s="1"/>
  <c r="C159" i="13" s="1"/>
  <c r="C160" i="13" s="1"/>
  <c r="C161" i="13" s="1"/>
  <c r="N90" i="13"/>
  <c r="N869" i="13"/>
  <c r="C911" i="13"/>
  <c r="C912" i="13" s="1"/>
  <c r="C913" i="13" s="1"/>
  <c r="C914" i="13" s="1"/>
  <c r="C915" i="13" s="1"/>
  <c r="C916" i="13" s="1"/>
  <c r="C917" i="13" s="1"/>
  <c r="C918" i="13" s="1"/>
  <c r="C919" i="13" s="1"/>
  <c r="C920" i="13" s="1"/>
  <c r="C921" i="13" s="1"/>
  <c r="C922" i="13" s="1"/>
  <c r="C923" i="13" s="1"/>
  <c r="C924" i="13" s="1"/>
  <c r="C925" i="13" s="1"/>
  <c r="C926" i="13" s="1"/>
  <c r="C927" i="13" s="1"/>
  <c r="C928" i="13" s="1"/>
  <c r="C929" i="13" s="1"/>
  <c r="C930" i="13" s="1"/>
  <c r="C931" i="13" s="1"/>
  <c r="C932" i="13" s="1"/>
  <c r="C933" i="13" s="1"/>
  <c r="C934" i="13" s="1"/>
  <c r="C935" i="13" s="1"/>
  <c r="C936" i="13" s="1"/>
  <c r="C937" i="13" s="1"/>
  <c r="C938" i="13" s="1"/>
  <c r="C939" i="13" s="1"/>
  <c r="C940" i="13" s="1"/>
  <c r="M869" i="13"/>
  <c r="M695" i="13"/>
  <c r="N695" i="13"/>
  <c r="C737" i="13"/>
  <c r="C738" i="13" s="1"/>
  <c r="C739" i="13" s="1"/>
  <c r="C740" i="13" s="1"/>
  <c r="C741" i="13" s="1"/>
  <c r="C742" i="13" s="1"/>
  <c r="C743" i="13" s="1"/>
  <c r="C744" i="13" s="1"/>
  <c r="C745" i="13" s="1"/>
  <c r="C746" i="13" s="1"/>
  <c r="C747" i="13" s="1"/>
  <c r="C748" i="13" s="1"/>
  <c r="C749" i="13" s="1"/>
  <c r="C750" i="13" s="1"/>
  <c r="C751" i="13" s="1"/>
  <c r="C752" i="13" s="1"/>
  <c r="C753" i="13" s="1"/>
  <c r="C754" i="13" s="1"/>
  <c r="C755" i="13" s="1"/>
  <c r="C756" i="13" s="1"/>
  <c r="C757" i="13" s="1"/>
  <c r="C758" i="13" s="1"/>
  <c r="C759" i="13" s="1"/>
  <c r="C760" i="13" s="1"/>
  <c r="C761" i="13" s="1"/>
  <c r="C762" i="13" s="1"/>
  <c r="C763" i="13" s="1"/>
  <c r="C764" i="13" s="1"/>
  <c r="C765" i="13" s="1"/>
  <c r="C766" i="13" s="1"/>
  <c r="A29" i="41"/>
  <c r="A30" i="41" s="1"/>
  <c r="A31" i="41" s="1"/>
  <c r="A32" i="41" s="1"/>
  <c r="A33" i="41" s="1"/>
  <c r="A34" i="41" s="1"/>
  <c r="A35" i="41" s="1"/>
  <c r="A36" i="41" s="1"/>
  <c r="A37" i="41" s="1"/>
  <c r="A38" i="41" s="1"/>
  <c r="A39" i="41" s="1"/>
  <c r="A40" i="41" s="1"/>
  <c r="A41" i="41" s="1"/>
  <c r="A42" i="41" s="1"/>
  <c r="A48" i="41" s="1"/>
  <c r="A49" i="41" s="1"/>
  <c r="E266" i="2"/>
  <c r="N1041" i="13"/>
  <c r="C1083" i="13"/>
  <c r="C1084" i="13" s="1"/>
  <c r="C1085" i="13" s="1"/>
  <c r="C1086" i="13" s="1"/>
  <c r="C1087" i="13" s="1"/>
  <c r="C1088" i="13" s="1"/>
  <c r="C1089" i="13" s="1"/>
  <c r="C1090" i="13" s="1"/>
  <c r="C1091" i="13" s="1"/>
  <c r="C1092" i="13" s="1"/>
  <c r="C1093" i="13" s="1"/>
  <c r="C1094" i="13" s="1"/>
  <c r="C1095" i="13" s="1"/>
  <c r="C1096" i="13" s="1"/>
  <c r="C1097" i="13" s="1"/>
  <c r="C1098" i="13" s="1"/>
  <c r="C1099" i="13" s="1"/>
  <c r="C1100" i="13" s="1"/>
  <c r="C1101" i="13" s="1"/>
  <c r="C1102" i="13" s="1"/>
  <c r="C1103" i="13" s="1"/>
  <c r="C1104" i="13" s="1"/>
  <c r="C1105" i="13" s="1"/>
  <c r="C1106" i="13" s="1"/>
  <c r="C1107" i="13" s="1"/>
  <c r="C1108" i="13" s="1"/>
  <c r="C1109" i="13" s="1"/>
  <c r="C1110" i="13" s="1"/>
  <c r="C1111" i="13" s="1"/>
  <c r="C1112" i="13" s="1"/>
  <c r="M1041" i="13"/>
  <c r="A3" i="7"/>
  <c r="A3" i="8"/>
  <c r="D101" i="41"/>
  <c r="E101" i="41" s="1"/>
  <c r="E100" i="41"/>
  <c r="D22" i="49"/>
  <c r="H21" i="49"/>
  <c r="K21" i="49" s="1"/>
  <c r="E70" i="2"/>
  <c r="E67" i="2"/>
  <c r="E94" i="41"/>
  <c r="C95" i="41"/>
  <c r="C103" i="41"/>
  <c r="C105" i="41" s="1"/>
  <c r="D89" i="41"/>
  <c r="D103" i="41"/>
  <c r="D105" i="41" s="1"/>
  <c r="C477" i="13"/>
  <c r="C478" i="13" s="1"/>
  <c r="C479" i="13" s="1"/>
  <c r="C480" i="13" s="1"/>
  <c r="C481" i="13" s="1"/>
  <c r="C482" i="13" s="1"/>
  <c r="C483" i="13" s="1"/>
  <c r="C484" i="13" s="1"/>
  <c r="C485" i="13" s="1"/>
  <c r="C486" i="13" s="1"/>
  <c r="C487" i="13" s="1"/>
  <c r="C488" i="13" s="1"/>
  <c r="C489" i="13" s="1"/>
  <c r="C490" i="13" s="1"/>
  <c r="C491" i="13" s="1"/>
  <c r="C492" i="13" s="1"/>
  <c r="C493" i="13" s="1"/>
  <c r="C494" i="13" s="1"/>
  <c r="C495" i="13" s="1"/>
  <c r="C496" i="13" s="1"/>
  <c r="C497" i="13" s="1"/>
  <c r="C498" i="13" s="1"/>
  <c r="C499" i="13" s="1"/>
  <c r="C500" i="13" s="1"/>
  <c r="C501" i="13" s="1"/>
  <c r="C502" i="13" s="1"/>
  <c r="C503" i="13" s="1"/>
  <c r="C504" i="13" s="1"/>
  <c r="C505" i="13" s="1"/>
  <c r="C506" i="13" s="1"/>
  <c r="M435" i="13"/>
  <c r="M1643" i="13"/>
  <c r="E73" i="2"/>
  <c r="N955" i="13"/>
  <c r="O955" i="13" s="1"/>
  <c r="C1857" i="13"/>
  <c r="C1858" i="13" s="1"/>
  <c r="C1859" i="13" s="1"/>
  <c r="C1860" i="13" s="1"/>
  <c r="C1861" i="13" s="1"/>
  <c r="C1862" i="13" s="1"/>
  <c r="C1863" i="13" s="1"/>
  <c r="C1864" i="13" s="1"/>
  <c r="C1865" i="13" s="1"/>
  <c r="C1866" i="13" s="1"/>
  <c r="C1867" i="13" s="1"/>
  <c r="C1868" i="13" s="1"/>
  <c r="C1869" i="13" s="1"/>
  <c r="C1870" i="13" s="1"/>
  <c r="C1871" i="13" s="1"/>
  <c r="C1872" i="13" s="1"/>
  <c r="C1873" i="13" s="1"/>
  <c r="C1874" i="13" s="1"/>
  <c r="C1875" i="13" s="1"/>
  <c r="C1876" i="13" s="1"/>
  <c r="C1877" i="13" s="1"/>
  <c r="C1878" i="13" s="1"/>
  <c r="C1879" i="13" s="1"/>
  <c r="C1880" i="13" s="1"/>
  <c r="C1881" i="13" s="1"/>
  <c r="C1882" i="13" s="1"/>
  <c r="C1883" i="13" s="1"/>
  <c r="C1884" i="13" s="1"/>
  <c r="C1885" i="13" s="1"/>
  <c r="C1886" i="13" s="1"/>
  <c r="E265" i="2"/>
  <c r="N177" i="13"/>
  <c r="O177" i="13" s="1"/>
  <c r="C219" i="13"/>
  <c r="C220" i="13" s="1"/>
  <c r="C221" i="13" s="1"/>
  <c r="C222" i="13" s="1"/>
  <c r="C223" i="13" s="1"/>
  <c r="C224" i="13" s="1"/>
  <c r="C225" i="13" s="1"/>
  <c r="C226" i="13" s="1"/>
  <c r="C227" i="13" s="1"/>
  <c r="C228" i="13" s="1"/>
  <c r="C229" i="13" s="1"/>
  <c r="C230" i="13" s="1"/>
  <c r="C231" i="13" s="1"/>
  <c r="C232" i="13" s="1"/>
  <c r="C233" i="13" s="1"/>
  <c r="C234" i="13" s="1"/>
  <c r="C235" i="13" s="1"/>
  <c r="C236" i="13" s="1"/>
  <c r="C237" i="13" s="1"/>
  <c r="C238" i="13" s="1"/>
  <c r="C239" i="13" s="1"/>
  <c r="C240" i="13" s="1"/>
  <c r="C241" i="13" s="1"/>
  <c r="C242" i="13" s="1"/>
  <c r="C243" i="13" s="1"/>
  <c r="C244" i="13" s="1"/>
  <c r="C245" i="13" s="1"/>
  <c r="C246" i="13" s="1"/>
  <c r="C247" i="13" s="1"/>
  <c r="C248" i="13" s="1"/>
  <c r="N1299" i="13"/>
  <c r="C1341" i="13"/>
  <c r="C1342" i="13" s="1"/>
  <c r="C1343" i="13" s="1"/>
  <c r="C1344" i="13" s="1"/>
  <c r="C1345" i="13" s="1"/>
  <c r="C1346" i="13" s="1"/>
  <c r="C1347" i="13" s="1"/>
  <c r="C1348" i="13" s="1"/>
  <c r="C1349" i="13" s="1"/>
  <c r="C1350" i="13" s="1"/>
  <c r="C1351" i="13" s="1"/>
  <c r="C1352" i="13" s="1"/>
  <c r="C1353" i="13" s="1"/>
  <c r="C1354" i="13" s="1"/>
  <c r="C1355" i="13" s="1"/>
  <c r="C1356" i="13" s="1"/>
  <c r="C1357" i="13" s="1"/>
  <c r="C1358" i="13" s="1"/>
  <c r="C1359" i="13" s="1"/>
  <c r="C1360" i="13" s="1"/>
  <c r="C1361" i="13" s="1"/>
  <c r="C1362" i="13" s="1"/>
  <c r="C1363" i="13" s="1"/>
  <c r="C1364" i="13" s="1"/>
  <c r="C1365" i="13" s="1"/>
  <c r="C1366" i="13" s="1"/>
  <c r="C1367" i="13" s="1"/>
  <c r="C1368" i="13" s="1"/>
  <c r="C1369" i="13" s="1"/>
  <c r="C1370" i="13" s="1"/>
  <c r="M1299" i="13"/>
  <c r="N1471" i="13"/>
  <c r="O1471" i="13" s="1"/>
  <c r="C1513" i="13"/>
  <c r="C1514" i="13" s="1"/>
  <c r="C1515" i="13" s="1"/>
  <c r="C1516" i="13" s="1"/>
  <c r="C1517" i="13" s="1"/>
  <c r="C1518" i="13" s="1"/>
  <c r="C1519" i="13" s="1"/>
  <c r="C1520" i="13" s="1"/>
  <c r="C1521" i="13" s="1"/>
  <c r="C1522" i="13" s="1"/>
  <c r="C1523" i="13" s="1"/>
  <c r="C1524" i="13" s="1"/>
  <c r="C1525" i="13" s="1"/>
  <c r="C1526" i="13" s="1"/>
  <c r="C1527" i="13" s="1"/>
  <c r="C1528" i="13" s="1"/>
  <c r="C1529" i="13" s="1"/>
  <c r="C1530" i="13" s="1"/>
  <c r="C1531" i="13" s="1"/>
  <c r="C1532" i="13" s="1"/>
  <c r="C1533" i="13" s="1"/>
  <c r="C1534" i="13" s="1"/>
  <c r="C1535" i="13" s="1"/>
  <c r="C1536" i="13" s="1"/>
  <c r="C1537" i="13" s="1"/>
  <c r="C1538" i="13" s="1"/>
  <c r="C1539" i="13" s="1"/>
  <c r="C1540" i="13" s="1"/>
  <c r="C1541" i="13" s="1"/>
  <c r="C1542" i="13" s="1"/>
  <c r="N1729" i="13"/>
  <c r="O1729" i="13" s="1"/>
  <c r="C1771" i="13"/>
  <c r="C1772" i="13" s="1"/>
  <c r="C1773" i="13" s="1"/>
  <c r="C1774" i="13" s="1"/>
  <c r="C1775" i="13" s="1"/>
  <c r="C1776" i="13" s="1"/>
  <c r="C1777" i="13" s="1"/>
  <c r="C1778" i="13" s="1"/>
  <c r="C1779" i="13" s="1"/>
  <c r="C1780" i="13" s="1"/>
  <c r="C1781" i="13" s="1"/>
  <c r="C1782" i="13" s="1"/>
  <c r="C1783" i="13" s="1"/>
  <c r="C1784" i="13" s="1"/>
  <c r="C1785" i="13" s="1"/>
  <c r="C1786" i="13" s="1"/>
  <c r="C1787" i="13" s="1"/>
  <c r="C1788" i="13" s="1"/>
  <c r="C1789" i="13" s="1"/>
  <c r="C1790" i="13" s="1"/>
  <c r="C1791" i="13" s="1"/>
  <c r="C1792" i="13" s="1"/>
  <c r="C1793" i="13" s="1"/>
  <c r="C1794" i="13" s="1"/>
  <c r="C1795" i="13" s="1"/>
  <c r="C1796" i="13" s="1"/>
  <c r="C1797" i="13" s="1"/>
  <c r="C1798" i="13" s="1"/>
  <c r="C1799" i="13" s="1"/>
  <c r="C1800" i="13" s="1"/>
  <c r="C997" i="13"/>
  <c r="C998" i="13" s="1"/>
  <c r="C999" i="13" s="1"/>
  <c r="C1000" i="13" s="1"/>
  <c r="C1001" i="13" s="1"/>
  <c r="C1002" i="13" s="1"/>
  <c r="C1003" i="13" s="1"/>
  <c r="C1004" i="13" s="1"/>
  <c r="C1005" i="13" s="1"/>
  <c r="C1006" i="13" s="1"/>
  <c r="C1007" i="13" s="1"/>
  <c r="C1008" i="13" s="1"/>
  <c r="C1009" i="13" s="1"/>
  <c r="C1010" i="13" s="1"/>
  <c r="C1011" i="13" s="1"/>
  <c r="C1012" i="13" s="1"/>
  <c r="C1013" i="13" s="1"/>
  <c r="C1014" i="13" s="1"/>
  <c r="C1015" i="13" s="1"/>
  <c r="C1016" i="13" s="1"/>
  <c r="C1017" i="13" s="1"/>
  <c r="C1018" i="13" s="1"/>
  <c r="C1019" i="13" s="1"/>
  <c r="C1020" i="13" s="1"/>
  <c r="C1021" i="13" s="1"/>
  <c r="C1022" i="13" s="1"/>
  <c r="C1023" i="13" s="1"/>
  <c r="C1024" i="13" s="1"/>
  <c r="C1025" i="13" s="1"/>
  <c r="C1026" i="13" s="1"/>
  <c r="M1815" i="13"/>
  <c r="O1815" i="13" s="1"/>
  <c r="E264" i="2"/>
  <c r="B23" i="7"/>
  <c r="A23" i="7"/>
  <c r="N435" i="13"/>
  <c r="N1643" i="13"/>
  <c r="C1943" i="13"/>
  <c r="C1944" i="13" s="1"/>
  <c r="C1945" i="13" s="1"/>
  <c r="C1946" i="13" s="1"/>
  <c r="C1947" i="13" s="1"/>
  <c r="C1948" i="13" s="1"/>
  <c r="C1949" i="13" s="1"/>
  <c r="C1950" i="13" s="1"/>
  <c r="C1951" i="13" s="1"/>
  <c r="C1952" i="13" s="1"/>
  <c r="C1953" i="13" s="1"/>
  <c r="C1954" i="13" s="1"/>
  <c r="C1955" i="13" s="1"/>
  <c r="C1956" i="13" s="1"/>
  <c r="C1957" i="13" s="1"/>
  <c r="C1958" i="13" s="1"/>
  <c r="C1959" i="13" s="1"/>
  <c r="C1960" i="13" s="1"/>
  <c r="C1961" i="13" s="1"/>
  <c r="C1962" i="13" s="1"/>
  <c r="C1963" i="13" s="1"/>
  <c r="C1964" i="13" s="1"/>
  <c r="C1965" i="13" s="1"/>
  <c r="C1966" i="13" s="1"/>
  <c r="C1967" i="13" s="1"/>
  <c r="C1968" i="13" s="1"/>
  <c r="C1969" i="13" s="1"/>
  <c r="C1970" i="13" s="1"/>
  <c r="C1971" i="13" s="1"/>
  <c r="C1972" i="13" s="1"/>
  <c r="B18" i="2"/>
  <c r="B20" i="2" s="1"/>
  <c r="B27" i="2" s="1"/>
  <c r="B29" i="2" s="1"/>
  <c r="B30" i="2" s="1"/>
  <c r="B31" i="2" s="1"/>
  <c r="B33" i="2" s="1"/>
  <c r="B34" i="2" s="1"/>
  <c r="E88" i="41"/>
  <c r="D22" i="50"/>
  <c r="H21" i="50"/>
  <c r="K21" i="50" s="1"/>
  <c r="N607" i="13"/>
  <c r="O607" i="13" s="1"/>
  <c r="C649" i="13"/>
  <c r="C650" i="13" s="1"/>
  <c r="C651" i="13" s="1"/>
  <c r="C652" i="13" s="1"/>
  <c r="C653" i="13" s="1"/>
  <c r="C654" i="13" s="1"/>
  <c r="C655" i="13" s="1"/>
  <c r="C656" i="13" s="1"/>
  <c r="C657" i="13" s="1"/>
  <c r="C658" i="13" s="1"/>
  <c r="C659" i="13" s="1"/>
  <c r="C660" i="13" s="1"/>
  <c r="C661" i="13" s="1"/>
  <c r="C662" i="13" s="1"/>
  <c r="C663" i="13" s="1"/>
  <c r="C664" i="13" s="1"/>
  <c r="C665" i="13" s="1"/>
  <c r="C666" i="13" s="1"/>
  <c r="C667" i="13" s="1"/>
  <c r="C668" i="13" s="1"/>
  <c r="C669" i="13" s="1"/>
  <c r="C670" i="13" s="1"/>
  <c r="C671" i="13" s="1"/>
  <c r="C672" i="13" s="1"/>
  <c r="C673" i="13" s="1"/>
  <c r="C674" i="13" s="1"/>
  <c r="C675" i="13" s="1"/>
  <c r="C676" i="13" s="1"/>
  <c r="C677" i="13" s="1"/>
  <c r="C678" i="13" s="1"/>
  <c r="E76" i="41"/>
  <c r="E17" i="5"/>
  <c r="G49" i="5"/>
  <c r="O33" i="21"/>
  <c r="G217" i="2" s="1"/>
  <c r="F80" i="35"/>
  <c r="G113" i="2" s="1"/>
  <c r="L113" i="2" s="1"/>
  <c r="E19" i="5"/>
  <c r="G17" i="5"/>
  <c r="G19" i="5"/>
  <c r="G117" i="38"/>
  <c r="G120" i="39"/>
  <c r="E74" i="9"/>
  <c r="G113" i="38"/>
  <c r="G119" i="38"/>
  <c r="C142" i="38"/>
  <c r="K142" i="38"/>
  <c r="G42" i="5"/>
  <c r="F88" i="35"/>
  <c r="G115" i="2" s="1"/>
  <c r="G98" i="2"/>
  <c r="D64" i="35"/>
  <c r="L82" i="2" s="1"/>
  <c r="G96" i="2"/>
  <c r="I48" i="11" s="1"/>
  <c r="I51" i="11" s="1"/>
  <c r="I53" i="11" s="1"/>
  <c r="I55" i="11" s="1"/>
  <c r="G125" i="38"/>
  <c r="G126" i="38"/>
  <c r="G17" i="38"/>
  <c r="I142" i="38"/>
  <c r="G21" i="38"/>
  <c r="I34" i="5"/>
  <c r="J27" i="8"/>
  <c r="J31" i="8" s="1"/>
  <c r="E25" i="30"/>
  <c r="E17" i="11"/>
  <c r="M17" i="11" s="1"/>
  <c r="M43" i="11" s="1"/>
  <c r="G192" i="2" s="1"/>
  <c r="H255" i="2"/>
  <c r="E64" i="9"/>
  <c r="J62" i="6"/>
  <c r="J31" i="6" s="1"/>
  <c r="J33" i="6" s="1"/>
  <c r="G123" i="2" s="1"/>
  <c r="K62" i="6"/>
  <c r="K31" i="6" s="1"/>
  <c r="K33" i="6" s="1"/>
  <c r="E62" i="6"/>
  <c r="E31" i="6" s="1"/>
  <c r="E33" i="6" s="1"/>
  <c r="G126" i="2" s="1"/>
  <c r="L126" i="2" s="1"/>
  <c r="D33" i="6"/>
  <c r="I62" i="6"/>
  <c r="I31" i="6" s="1"/>
  <c r="I33" i="6" s="1"/>
  <c r="G124" i="2" s="1"/>
  <c r="F25" i="47"/>
  <c r="H42" i="41"/>
  <c r="G271" i="2" s="1"/>
  <c r="G116" i="39"/>
  <c r="G124" i="39"/>
  <c r="G139" i="38"/>
  <c r="J142" i="38"/>
  <c r="G49" i="38"/>
  <c r="G53" i="38"/>
  <c r="L268" i="2"/>
  <c r="G273" i="2" s="1"/>
  <c r="G20" i="38"/>
  <c r="E23" i="38"/>
  <c r="I122" i="38"/>
  <c r="I128" i="38" s="1"/>
  <c r="K122" i="38"/>
  <c r="K128" i="38" s="1"/>
  <c r="D122" i="38"/>
  <c r="D128" i="38" s="1"/>
  <c r="J122" i="38"/>
  <c r="J128" i="38" s="1"/>
  <c r="G19" i="38"/>
  <c r="I52" i="5"/>
  <c r="L108" i="2" s="1"/>
  <c r="K56" i="38"/>
  <c r="I56" i="38"/>
  <c r="E26" i="5"/>
  <c r="J56" i="38"/>
  <c r="C56" i="38"/>
  <c r="I18" i="5"/>
  <c r="F23" i="38"/>
  <c r="I126" i="39"/>
  <c r="C126" i="39"/>
  <c r="J126" i="39"/>
  <c r="K126" i="39"/>
  <c r="P1967" i="13"/>
  <c r="P1969" i="13"/>
  <c r="G118" i="38"/>
  <c r="D56" i="38"/>
  <c r="C122" i="38"/>
  <c r="C128" i="38" s="1"/>
  <c r="P1711" i="13"/>
  <c r="P1838" i="13"/>
  <c r="P1866" i="13"/>
  <c r="P1874" i="13"/>
  <c r="P1878" i="13"/>
  <c r="P1886" i="13"/>
  <c r="P731" i="13"/>
  <c r="P1693" i="13"/>
  <c r="P1868" i="13"/>
  <c r="P1876" i="13"/>
  <c r="P1884" i="13"/>
  <c r="D581" i="13"/>
  <c r="G580" i="13"/>
  <c r="M1127" i="13"/>
  <c r="O1127" i="13" s="1"/>
  <c r="M1213" i="13"/>
  <c r="M263" i="13"/>
  <c r="E189" i="2"/>
  <c r="E193" i="2"/>
  <c r="E69" i="2"/>
  <c r="E66" i="2"/>
  <c r="E72" i="2"/>
  <c r="E71" i="2"/>
  <c r="E113" i="2"/>
  <c r="A84" i="35"/>
  <c r="F26" i="49"/>
  <c r="F26" i="50"/>
  <c r="A20" i="5"/>
  <c r="A23" i="5" s="1"/>
  <c r="A25" i="5" s="1"/>
  <c r="D20" i="5"/>
  <c r="C47" i="13"/>
  <c r="C47" i="20"/>
  <c r="G35" i="5"/>
  <c r="G33" i="5"/>
  <c r="E35" i="5"/>
  <c r="E33" i="5"/>
  <c r="L96" i="2"/>
  <c r="G23" i="41"/>
  <c r="S17" i="21"/>
  <c r="E61" i="11"/>
  <c r="E63" i="11" s="1"/>
  <c r="E65" i="11" s="1"/>
  <c r="S22" i="21"/>
  <c r="G25" i="5"/>
  <c r="G27" i="5"/>
  <c r="S27" i="21"/>
  <c r="E27" i="5"/>
  <c r="E25" i="5"/>
  <c r="F1705" i="20"/>
  <c r="D1706" i="20" s="1"/>
  <c r="E1706" i="20" s="1"/>
  <c r="F1706" i="20" s="1"/>
  <c r="D1707" i="20" s="1"/>
  <c r="G26" i="5"/>
  <c r="G97" i="2"/>
  <c r="K48" i="11" s="1"/>
  <c r="K51" i="11" s="1"/>
  <c r="K53" i="11" s="1"/>
  <c r="K55" i="11" s="1"/>
  <c r="P737" i="13"/>
  <c r="P669" i="13"/>
  <c r="P909" i="13"/>
  <c r="P1248" i="13"/>
  <c r="P1256" i="13"/>
  <c r="L234" i="2"/>
  <c r="G95" i="2"/>
  <c r="G48" i="11" s="1"/>
  <c r="L66" i="2"/>
  <c r="G94" i="2"/>
  <c r="P1686" i="13"/>
  <c r="K43" i="11"/>
  <c r="G193" i="2" s="1"/>
  <c r="P1699" i="13"/>
  <c r="P1842" i="13"/>
  <c r="P1947" i="13"/>
  <c r="I43" i="11"/>
  <c r="G189" i="2" s="1"/>
  <c r="P1542" i="13"/>
  <c r="P1528" i="13"/>
  <c r="P316" i="13"/>
  <c r="P839" i="13"/>
  <c r="P849" i="13"/>
  <c r="P851" i="13"/>
  <c r="P1000" i="13"/>
  <c r="P1010" i="13"/>
  <c r="P1022" i="13"/>
  <c r="P1150" i="13"/>
  <c r="P1152" i="13"/>
  <c r="P1154" i="13"/>
  <c r="P1156" i="13"/>
  <c r="P1158" i="13"/>
  <c r="P1162" i="13"/>
  <c r="P1190" i="13"/>
  <c r="P1524" i="13"/>
  <c r="P1540" i="13"/>
  <c r="P302" i="13"/>
  <c r="P978" i="13"/>
  <c r="P1014" i="13"/>
  <c r="P1018" i="13"/>
  <c r="P1164" i="13"/>
  <c r="P1333" i="13"/>
  <c r="P1494" i="13"/>
  <c r="P1508" i="13"/>
  <c r="P1752" i="13"/>
  <c r="P1754" i="13"/>
  <c r="P1756" i="13"/>
  <c r="P1758" i="13"/>
  <c r="P1760" i="13"/>
  <c r="P1764" i="13"/>
  <c r="P1768" i="13"/>
  <c r="P1770" i="13"/>
  <c r="P1772" i="13"/>
  <c r="P1774" i="13"/>
  <c r="P1776" i="13"/>
  <c r="P1778" i="13"/>
  <c r="P1780" i="13"/>
  <c r="P1782" i="13"/>
  <c r="P1784" i="13"/>
  <c r="P1786" i="13"/>
  <c r="P1788" i="13"/>
  <c r="P1790" i="13"/>
  <c r="P1792" i="13"/>
  <c r="P1794" i="13"/>
  <c r="P1796" i="13"/>
  <c r="P1798" i="13"/>
  <c r="P1800" i="13"/>
  <c r="P1839" i="13"/>
  <c r="P1847" i="13"/>
  <c r="P1849" i="13"/>
  <c r="P1851" i="13"/>
  <c r="P1857" i="13"/>
  <c r="P1861" i="13"/>
  <c r="P1867" i="13"/>
  <c r="P1881" i="13"/>
  <c r="P1926" i="13"/>
  <c r="P1928" i="13"/>
  <c r="P1930" i="13"/>
  <c r="P1932" i="13"/>
  <c r="P1934" i="13"/>
  <c r="P1936" i="13"/>
  <c r="P1938" i="13"/>
  <c r="P1942" i="13"/>
  <c r="P1944" i="13"/>
  <c r="P1972" i="13"/>
  <c r="P720" i="13"/>
  <c r="P722" i="13"/>
  <c r="P724" i="13"/>
  <c r="P728" i="13"/>
  <c r="P742" i="13"/>
  <c r="P744" i="13"/>
  <c r="P746" i="13"/>
  <c r="P748" i="13"/>
  <c r="P750" i="13"/>
  <c r="P752" i="13"/>
  <c r="P754" i="13"/>
  <c r="P756" i="13"/>
  <c r="P758" i="13"/>
  <c r="P760" i="13"/>
  <c r="P762" i="13"/>
  <c r="P764" i="13"/>
  <c r="P766" i="13"/>
  <c r="P548" i="13"/>
  <c r="P1749" i="13"/>
  <c r="P375" i="13"/>
  <c r="E20" i="11"/>
  <c r="G20" i="11" s="1"/>
  <c r="G43" i="11" s="1"/>
  <c r="G191" i="2" s="1"/>
  <c r="P903" i="13"/>
  <c r="P911" i="13"/>
  <c r="P929" i="13"/>
  <c r="P1085" i="13"/>
  <c r="P1091" i="13"/>
  <c r="P1278" i="13"/>
  <c r="P1415" i="13"/>
  <c r="P1417" i="13"/>
  <c r="P1709" i="13"/>
  <c r="P1840" i="13"/>
  <c r="P1844" i="13"/>
  <c r="P1870" i="13"/>
  <c r="P1872" i="13"/>
  <c r="P1880" i="13"/>
  <c r="P1882" i="13"/>
  <c r="P1773" i="13"/>
  <c r="P126" i="13"/>
  <c r="P155" i="13"/>
  <c r="P149" i="13"/>
  <c r="P127" i="13"/>
  <c r="P119" i="13"/>
  <c r="P1582" i="13"/>
  <c r="P1590" i="13"/>
  <c r="P1592" i="13"/>
  <c r="P1594" i="13"/>
  <c r="P1596" i="13"/>
  <c r="P1598" i="13"/>
  <c r="P1602" i="13"/>
  <c r="P1604" i="13"/>
  <c r="P1606" i="13"/>
  <c r="P1608" i="13"/>
  <c r="P1612" i="13"/>
  <c r="P1616" i="13"/>
  <c r="P1618" i="13"/>
  <c r="P1624" i="13"/>
  <c r="P1626" i="13"/>
  <c r="P1659" i="13"/>
  <c r="P211" i="13"/>
  <c r="P546" i="13"/>
  <c r="P550" i="13"/>
  <c r="P552" i="13"/>
  <c r="P554" i="13"/>
  <c r="P558" i="13"/>
  <c r="P564" i="13"/>
  <c r="P570" i="13"/>
  <c r="P578" i="13"/>
  <c r="P580" i="13"/>
  <c r="P806" i="13"/>
  <c r="P812" i="13"/>
  <c r="P820" i="13"/>
  <c r="P822" i="13"/>
  <c r="P824" i="13"/>
  <c r="P828" i="13"/>
  <c r="P832" i="13"/>
  <c r="P838" i="13"/>
  <c r="P840" i="13"/>
  <c r="P842" i="13"/>
  <c r="P844" i="13"/>
  <c r="P846" i="13"/>
  <c r="P850" i="13"/>
  <c r="P852" i="13"/>
  <c r="P854" i="13"/>
  <c r="P973" i="13"/>
  <c r="P979" i="13"/>
  <c r="P983" i="13"/>
  <c r="P985" i="13"/>
  <c r="P989" i="13"/>
  <c r="P991" i="13"/>
  <c r="P993" i="13"/>
  <c r="P995" i="13"/>
  <c r="P997" i="13"/>
  <c r="P999" i="13"/>
  <c r="P1001" i="13"/>
  <c r="P1003" i="13"/>
  <c r="P1005" i="13"/>
  <c r="P1007" i="13"/>
  <c r="P1009" i="13"/>
  <c r="P1015" i="13"/>
  <c r="P1023" i="13"/>
  <c r="P1151" i="13"/>
  <c r="P1161" i="13"/>
  <c r="P1169" i="13"/>
  <c r="P1191" i="13"/>
  <c r="P1332" i="13"/>
  <c r="P1338" i="13"/>
  <c r="P1767" i="13"/>
  <c r="P1769" i="13"/>
  <c r="P1771" i="13"/>
  <c r="P1775" i="13"/>
  <c r="P1777" i="13"/>
  <c r="P1779" i="13"/>
  <c r="P1781" i="13"/>
  <c r="P1783" i="13"/>
  <c r="P1785" i="13"/>
  <c r="P1787" i="13"/>
  <c r="P1789" i="13"/>
  <c r="P1791" i="13"/>
  <c r="P1793" i="13"/>
  <c r="P1795" i="13"/>
  <c r="P1797" i="13"/>
  <c r="P1799" i="13"/>
  <c r="P1949" i="13"/>
  <c r="P1953" i="13"/>
  <c r="P660" i="13"/>
  <c r="P914" i="13"/>
  <c r="P922" i="13"/>
  <c r="P928" i="13"/>
  <c r="P1237" i="13"/>
  <c r="P1239" i="13"/>
  <c r="P1241" i="13"/>
  <c r="P1245" i="13"/>
  <c r="P1247" i="13"/>
  <c r="P1249" i="13"/>
  <c r="P1251" i="13"/>
  <c r="P1253" i="13"/>
  <c r="P1259" i="13"/>
  <c r="P1261" i="13"/>
  <c r="P1263" i="13"/>
  <c r="P1265" i="13"/>
  <c r="P1267" i="13"/>
  <c r="P1269" i="13"/>
  <c r="P1271" i="13"/>
  <c r="P1420" i="13"/>
  <c r="P1422" i="13"/>
  <c r="P1424" i="13"/>
  <c r="P1432" i="13"/>
  <c r="P1438" i="13"/>
  <c r="P1440" i="13"/>
  <c r="P1442" i="13"/>
  <c r="P1446" i="13"/>
  <c r="P1448" i="13"/>
  <c r="P1452" i="13"/>
  <c r="P1454" i="13"/>
  <c r="P1456" i="13"/>
  <c r="P1601" i="13"/>
  <c r="P1603" i="13"/>
  <c r="P1605" i="13"/>
  <c r="P1607" i="13"/>
  <c r="P1611" i="13"/>
  <c r="P1613" i="13"/>
  <c r="P1617" i="13"/>
  <c r="P656" i="13"/>
  <c r="P906" i="13"/>
  <c r="P912" i="13"/>
  <c r="P938" i="13"/>
  <c r="P1916" i="13"/>
  <c r="P205" i="13"/>
  <c r="P207" i="13"/>
  <c r="P209" i="13"/>
  <c r="P213" i="13"/>
  <c r="P215" i="13"/>
  <c r="P219" i="13"/>
  <c r="P223" i="13"/>
  <c r="P231" i="13"/>
  <c r="P648" i="13"/>
  <c r="P208" i="13"/>
  <c r="P224" i="13"/>
  <c r="P226" i="13"/>
  <c r="P228" i="13"/>
  <c r="P234" i="13"/>
  <c r="P236" i="13"/>
  <c r="P380" i="13"/>
  <c r="P392" i="13"/>
  <c r="P394" i="13"/>
  <c r="P396" i="13"/>
  <c r="P494" i="13"/>
  <c r="P498" i="13"/>
  <c r="P1188" i="13"/>
  <c r="P1194" i="13"/>
  <c r="P1329" i="13"/>
  <c r="P1337" i="13"/>
  <c r="P1357" i="13"/>
  <c r="P1496" i="13"/>
  <c r="P1514" i="13"/>
  <c r="P1516" i="13"/>
  <c r="P1534" i="13"/>
  <c r="P1705" i="13"/>
  <c r="P759" i="13"/>
  <c r="P761" i="13"/>
  <c r="P765" i="13"/>
  <c r="P1937" i="13"/>
  <c r="P1943" i="13"/>
  <c r="P1498" i="13"/>
  <c r="P1160" i="13"/>
  <c r="P1526" i="13"/>
  <c r="P741" i="13"/>
  <c r="P743" i="13"/>
  <c r="P745" i="13"/>
  <c r="P757" i="13"/>
  <c r="P1174" i="13"/>
  <c r="P1323" i="13"/>
  <c r="P1325" i="13"/>
  <c r="P1327" i="13"/>
  <c r="P1331" i="13"/>
  <c r="P1335" i="13"/>
  <c r="P1339" i="13"/>
  <c r="P1518" i="13"/>
  <c r="P148" i="13"/>
  <c r="P146" i="13"/>
  <c r="P138" i="13"/>
  <c r="P136" i="13"/>
  <c r="P1522" i="13"/>
  <c r="P1532" i="13"/>
  <c r="P157" i="13"/>
  <c r="P544" i="13"/>
  <c r="P556" i="13"/>
  <c r="P588" i="13"/>
  <c r="P590" i="13"/>
  <c r="P592" i="13"/>
  <c r="P1153" i="13"/>
  <c r="P1155" i="13"/>
  <c r="P1157" i="13"/>
  <c r="P1159" i="13"/>
  <c r="P1163" i="13"/>
  <c r="P1173" i="13"/>
  <c r="P1521" i="13"/>
  <c r="P1537" i="13"/>
  <c r="P1660" i="13"/>
  <c r="P1664" i="13"/>
  <c r="P1666" i="13"/>
  <c r="P1676" i="13"/>
  <c r="P1680" i="13"/>
  <c r="P1682" i="13"/>
  <c r="P1684" i="13"/>
  <c r="P1688" i="13"/>
  <c r="P1690" i="13"/>
  <c r="P1694" i="13"/>
  <c r="P1696" i="13"/>
  <c r="P1698" i="13"/>
  <c r="P1700" i="13"/>
  <c r="P1702" i="13"/>
  <c r="P1704" i="13"/>
  <c r="P1914" i="13"/>
  <c r="P292" i="13"/>
  <c r="P298" i="13"/>
  <c r="P300" i="13"/>
  <c r="P304" i="13"/>
  <c r="P306" i="13"/>
  <c r="P308" i="13"/>
  <c r="P310" i="13"/>
  <c r="P312" i="13"/>
  <c r="P314" i="13"/>
  <c r="P332" i="13"/>
  <c r="P463" i="13"/>
  <c r="P465" i="13"/>
  <c r="P469" i="13"/>
  <c r="P471" i="13"/>
  <c r="P475" i="13"/>
  <c r="P477" i="13"/>
  <c r="P479" i="13"/>
  <c r="P481" i="13"/>
  <c r="P487" i="13"/>
  <c r="P489" i="13"/>
  <c r="P491" i="13"/>
  <c r="P493" i="13"/>
  <c r="P503" i="13"/>
  <c r="P505" i="13"/>
  <c r="P635" i="13"/>
  <c r="P639" i="13"/>
  <c r="P641" i="13"/>
  <c r="P647" i="13"/>
  <c r="P649" i="13"/>
  <c r="P651" i="13"/>
  <c r="P653" i="13"/>
  <c r="P655" i="13"/>
  <c r="P659" i="13"/>
  <c r="P661" i="13"/>
  <c r="P665" i="13"/>
  <c r="P671" i="13"/>
  <c r="P677" i="13"/>
  <c r="P905" i="13"/>
  <c r="P907" i="13"/>
  <c r="P917" i="13"/>
  <c r="P919" i="13"/>
  <c r="P921" i="13"/>
  <c r="P923" i="13"/>
  <c r="P927" i="13"/>
  <c r="P931" i="13"/>
  <c r="P1065" i="13"/>
  <c r="P1071" i="13"/>
  <c r="P1077" i="13"/>
  <c r="P1081" i="13"/>
  <c r="P1083" i="13"/>
  <c r="P1087" i="13"/>
  <c r="P1093" i="13"/>
  <c r="P1238" i="13"/>
  <c r="P1244" i="13"/>
  <c r="P1246" i="13"/>
  <c r="P1250" i="13"/>
  <c r="P1252" i="13"/>
  <c r="P1254" i="13"/>
  <c r="P1258" i="13"/>
  <c r="P1274" i="13"/>
  <c r="P1276" i="13"/>
  <c r="P1282" i="13"/>
  <c r="P1284" i="13"/>
  <c r="P1409" i="13"/>
  <c r="P1411" i="13"/>
  <c r="P1427" i="13"/>
  <c r="P1429" i="13"/>
  <c r="P1433" i="13"/>
  <c r="P1435" i="13"/>
  <c r="P1445" i="13"/>
  <c r="P293" i="13"/>
  <c r="P313" i="13"/>
  <c r="P315" i="13"/>
  <c r="P460" i="13"/>
  <c r="P462" i="13"/>
  <c r="P472" i="13"/>
  <c r="P474" i="13"/>
  <c r="P480" i="13"/>
  <c r="P496" i="13"/>
  <c r="P500" i="13"/>
  <c r="P504" i="13"/>
  <c r="P506" i="13"/>
  <c r="P632" i="13"/>
  <c r="P634" i="13"/>
  <c r="P636" i="13"/>
  <c r="P652" i="13"/>
  <c r="P896" i="13"/>
  <c r="P908" i="13"/>
  <c r="P910" i="13"/>
  <c r="P916" i="13"/>
  <c r="P918" i="13"/>
  <c r="P920" i="13"/>
  <c r="P934" i="13"/>
  <c r="P940" i="13"/>
  <c r="P1084" i="13"/>
  <c r="P1088" i="13"/>
  <c r="P1096" i="13"/>
  <c r="P1098" i="13"/>
  <c r="P1100" i="13"/>
  <c r="P1104" i="13"/>
  <c r="P1106" i="13"/>
  <c r="P1110" i="13"/>
  <c r="P1112" i="13"/>
  <c r="P329" i="13"/>
  <c r="P678" i="13"/>
  <c r="P1064" i="13"/>
  <c r="P1094" i="13"/>
  <c r="P1341" i="13"/>
  <c r="P1343" i="13"/>
  <c r="P1345" i="13"/>
  <c r="P1349" i="13"/>
  <c r="P1351" i="13"/>
  <c r="P1355" i="13"/>
  <c r="P1359" i="13"/>
  <c r="P1361" i="13"/>
  <c r="P1363" i="13"/>
  <c r="P1367" i="13"/>
  <c r="P1500" i="13"/>
  <c r="P1506" i="13"/>
  <c r="P1512" i="13"/>
  <c r="P1520" i="13"/>
  <c r="P1095" i="13"/>
  <c r="P1097" i="13"/>
  <c r="P1103" i="13"/>
  <c r="P1105" i="13"/>
  <c r="P1109" i="13"/>
  <c r="P1177" i="13"/>
  <c r="P1179" i="13"/>
  <c r="P1187" i="13"/>
  <c r="P1189" i="13"/>
  <c r="P1195" i="13"/>
  <c r="P1322" i="13"/>
  <c r="P1324" i="13"/>
  <c r="P1326" i="13"/>
  <c r="P1328" i="13"/>
  <c r="P1334" i="13"/>
  <c r="P1336" i="13"/>
  <c r="P1340" i="13"/>
  <c r="P1344" i="13"/>
  <c r="P1346" i="13"/>
  <c r="P1348" i="13"/>
  <c r="P1350" i="13"/>
  <c r="P1352" i="13"/>
  <c r="P1354" i="13"/>
  <c r="P1356" i="13"/>
  <c r="P1358" i="13"/>
  <c r="P1366" i="13"/>
  <c r="P1368" i="13"/>
  <c r="P1370" i="13"/>
  <c r="P1497" i="13"/>
  <c r="P1509" i="13"/>
  <c r="P1585" i="13"/>
  <c r="P1850" i="13"/>
  <c r="P733" i="13"/>
  <c r="P747" i="13"/>
  <c r="P235" i="13"/>
  <c r="P387" i="13"/>
  <c r="P399" i="13"/>
  <c r="P401" i="13"/>
  <c r="P411" i="13"/>
  <c r="P419" i="13"/>
  <c r="P543" i="13"/>
  <c r="P545" i="13"/>
  <c r="P553" i="13"/>
  <c r="P559" i="13"/>
  <c r="P565" i="13"/>
  <c r="P571" i="13"/>
  <c r="P573" i="13"/>
  <c r="P575" i="13"/>
  <c r="P577" i="13"/>
  <c r="P585" i="13"/>
  <c r="P589" i="13"/>
  <c r="P809" i="13"/>
  <c r="P811" i="13"/>
  <c r="P813" i="13"/>
  <c r="P819" i="13"/>
  <c r="P821" i="13"/>
  <c r="P827" i="13"/>
  <c r="P829" i="13"/>
  <c r="P831" i="13"/>
  <c r="P833" i="13"/>
  <c r="P835" i="13"/>
  <c r="P837" i="13"/>
  <c r="P841" i="13"/>
  <c r="P843" i="13"/>
  <c r="P853" i="13"/>
  <c r="P974" i="13"/>
  <c r="P976" i="13"/>
  <c r="P980" i="13"/>
  <c r="P982" i="13"/>
  <c r="P984" i="13"/>
  <c r="P986" i="13"/>
  <c r="P988" i="13"/>
  <c r="P990" i="13"/>
  <c r="P994" i="13"/>
  <c r="P996" i="13"/>
  <c r="P998" i="13"/>
  <c r="P1002" i="13"/>
  <c r="P1004" i="13"/>
  <c r="P1006" i="13"/>
  <c r="P1008" i="13"/>
  <c r="P1012" i="13"/>
  <c r="P1016" i="13"/>
  <c r="P1020" i="13"/>
  <c r="P1024" i="13"/>
  <c r="P1240" i="13"/>
  <c r="P1242" i="13"/>
  <c r="P1262" i="13"/>
  <c r="P1264" i="13"/>
  <c r="P1266" i="13"/>
  <c r="P1272" i="13"/>
  <c r="P1449" i="13"/>
  <c r="P1451" i="13"/>
  <c r="P1453" i="13"/>
  <c r="P1455" i="13"/>
  <c r="P239" i="13"/>
  <c r="P241" i="13"/>
  <c r="P243" i="13"/>
  <c r="P245" i="13"/>
  <c r="P247" i="13"/>
  <c r="P403" i="13"/>
  <c r="P405" i="13"/>
  <c r="P1099" i="13"/>
  <c r="P1107" i="13"/>
  <c r="P1185" i="13"/>
  <c r="P1536" i="13"/>
  <c r="P1620" i="13"/>
  <c r="P1622" i="13"/>
  <c r="P1628" i="13"/>
  <c r="P1714" i="13"/>
  <c r="P1837" i="13"/>
  <c r="P1841" i="13"/>
  <c r="P1853" i="13"/>
  <c r="P1855" i="13"/>
  <c r="P1863" i="13"/>
  <c r="P1871" i="13"/>
  <c r="P1400" i="13"/>
  <c r="P220" i="13"/>
  <c r="P230" i="13"/>
  <c r="P291" i="13"/>
  <c r="P323" i="13"/>
  <c r="P468" i="13"/>
  <c r="P836" i="13"/>
  <c r="P1066" i="13"/>
  <c r="P1068" i="13"/>
  <c r="P1078" i="13"/>
  <c r="P1080" i="13"/>
  <c r="P1082" i="13"/>
  <c r="P1090" i="13"/>
  <c r="P1092" i="13"/>
  <c r="P1413" i="13"/>
  <c r="P1419" i="13"/>
  <c r="P1421" i="13"/>
  <c r="P1423" i="13"/>
  <c r="P1425" i="13"/>
  <c r="P1527" i="13"/>
  <c r="P1529" i="13"/>
  <c r="P1531" i="13"/>
  <c r="P1945" i="13"/>
  <c r="P727" i="13"/>
  <c r="P229" i="13"/>
  <c r="P560" i="13"/>
  <c r="P1073" i="13"/>
  <c r="P1079" i="13"/>
  <c r="P1089" i="13"/>
  <c r="P1530" i="13"/>
  <c r="P1668" i="13"/>
  <c r="P1670" i="13"/>
  <c r="P1672" i="13"/>
  <c r="P1674" i="13"/>
  <c r="P1678" i="13"/>
  <c r="P1750" i="13"/>
  <c r="P1762" i="13"/>
  <c r="P1952" i="13"/>
  <c r="P1958" i="13"/>
  <c r="P151" i="13"/>
  <c r="P123" i="13"/>
  <c r="P295" i="13"/>
  <c r="P307" i="13"/>
  <c r="P466" i="13"/>
  <c r="P1330" i="13"/>
  <c r="P726" i="13"/>
  <c r="P730" i="13"/>
  <c r="P736" i="13"/>
  <c r="P738" i="13"/>
  <c r="P740" i="13"/>
  <c r="P1166" i="13"/>
  <c r="P1667" i="13"/>
  <c r="P1671" i="13"/>
  <c r="P1673" i="13"/>
  <c r="P1675" i="13"/>
  <c r="P1679" i="13"/>
  <c r="P1681" i="13"/>
  <c r="P1683" i="13"/>
  <c r="P1751" i="13"/>
  <c r="P1759" i="13"/>
  <c r="P1925" i="13"/>
  <c r="P1931" i="13"/>
  <c r="P1951" i="13"/>
  <c r="P1955" i="13"/>
  <c r="P1957" i="13"/>
  <c r="P1959" i="13"/>
  <c r="P1963" i="13"/>
  <c r="P1965" i="13"/>
  <c r="P1658" i="13"/>
  <c r="P1913" i="13"/>
  <c r="P160" i="13"/>
  <c r="P154" i="13"/>
  <c r="P808" i="13"/>
  <c r="P810" i="13"/>
  <c r="P814" i="13"/>
  <c r="P818" i="13"/>
  <c r="P830" i="13"/>
  <c r="P848" i="13"/>
  <c r="P975" i="13"/>
  <c r="P981" i="13"/>
  <c r="P987" i="13"/>
  <c r="P1011" i="13"/>
  <c r="P1013" i="13"/>
  <c r="P1017" i="13"/>
  <c r="P1019" i="13"/>
  <c r="P1021" i="13"/>
  <c r="P1025" i="13"/>
  <c r="P1108" i="13"/>
  <c r="P1410" i="13"/>
  <c r="P1412" i="13"/>
  <c r="P1418" i="13"/>
  <c r="P1434" i="13"/>
  <c r="P1436" i="13"/>
  <c r="P1583" i="13"/>
  <c r="P1589" i="13"/>
  <c r="P1593" i="13"/>
  <c r="P1597" i="13"/>
  <c r="P1609" i="13"/>
  <c r="P1615" i="13"/>
  <c r="P1619" i="13"/>
  <c r="P150" i="13"/>
  <c r="P144" i="13"/>
  <c r="P382" i="13"/>
  <c r="P386" i="13"/>
  <c r="P398" i="13"/>
  <c r="P400" i="13"/>
  <c r="P402" i="13"/>
  <c r="P410" i="13"/>
  <c r="P412" i="13"/>
  <c r="P414" i="13"/>
  <c r="P416" i="13"/>
  <c r="P418" i="13"/>
  <c r="P420" i="13"/>
  <c r="P482" i="13"/>
  <c r="P484" i="13"/>
  <c r="P486" i="13"/>
  <c r="P492" i="13"/>
  <c r="P502" i="13"/>
  <c r="P638" i="13"/>
  <c r="P640" i="13"/>
  <c r="P642" i="13"/>
  <c r="P658" i="13"/>
  <c r="P664" i="13"/>
  <c r="P666" i="13"/>
  <c r="P670" i="13"/>
  <c r="P672" i="13"/>
  <c r="P676" i="13"/>
  <c r="P807" i="13"/>
  <c r="P895" i="13"/>
  <c r="P897" i="13"/>
  <c r="P899" i="13"/>
  <c r="P901" i="13"/>
  <c r="P913" i="13"/>
  <c r="P915" i="13"/>
  <c r="P1165" i="13"/>
  <c r="P1176" i="13"/>
  <c r="P1180" i="13"/>
  <c r="P1184" i="13"/>
  <c r="P1280" i="13"/>
  <c r="P1511" i="13"/>
  <c r="P1707" i="13"/>
  <c r="P1713" i="13"/>
  <c r="P1848" i="13"/>
  <c r="P1864" i="13"/>
  <c r="P1929" i="13"/>
  <c r="P1941" i="13"/>
  <c r="P1946" i="13"/>
  <c r="P1948" i="13"/>
  <c r="P1950" i="13"/>
  <c r="P723" i="13"/>
  <c r="P725" i="13"/>
  <c r="P1398" i="13"/>
  <c r="P139" i="13"/>
  <c r="P137" i="13"/>
  <c r="P135" i="13"/>
  <c r="P133" i="13"/>
  <c r="P129" i="13"/>
  <c r="P383" i="13"/>
  <c r="P397" i="13"/>
  <c r="P415" i="13"/>
  <c r="P637" i="13"/>
  <c r="P645" i="13"/>
  <c r="P675" i="13"/>
  <c r="P894" i="13"/>
  <c r="P904" i="13"/>
  <c r="P936" i="13"/>
  <c r="P1171" i="13"/>
  <c r="P1175" i="13"/>
  <c r="P1181" i="13"/>
  <c r="P1183" i="13"/>
  <c r="P1197" i="13"/>
  <c r="P1281" i="13"/>
  <c r="P1283" i="13"/>
  <c r="P1708" i="13"/>
  <c r="P1710" i="13"/>
  <c r="P1865" i="13"/>
  <c r="P1873" i="13"/>
  <c r="P1875" i="13"/>
  <c r="P1877" i="13"/>
  <c r="P1879" i="13"/>
  <c r="P1883" i="13"/>
  <c r="P1885" i="13"/>
  <c r="P1535" i="13"/>
  <c r="P1761" i="13"/>
  <c r="P933" i="13"/>
  <c r="P318" i="13"/>
  <c r="P1431" i="13"/>
  <c r="P1655" i="13"/>
  <c r="P122" i="13"/>
  <c r="P297" i="13"/>
  <c r="P299" i="13"/>
  <c r="P305" i="13"/>
  <c r="P320" i="13"/>
  <c r="P322" i="13"/>
  <c r="P326" i="13"/>
  <c r="P377" i="13"/>
  <c r="P379" i="13"/>
  <c r="P381" i="13"/>
  <c r="P461" i="13"/>
  <c r="P485" i="13"/>
  <c r="P567" i="13"/>
  <c r="P569" i="13"/>
  <c r="P579" i="13"/>
  <c r="P581" i="13"/>
  <c r="P587" i="13"/>
  <c r="P817" i="13"/>
  <c r="P823" i="13"/>
  <c r="P825" i="13"/>
  <c r="P845" i="13"/>
  <c r="P847" i="13"/>
  <c r="P935" i="13"/>
  <c r="P937" i="13"/>
  <c r="P939" i="13"/>
  <c r="P1196" i="13"/>
  <c r="P1198" i="13"/>
  <c r="P1273" i="13"/>
  <c r="P1275" i="13"/>
  <c r="P1277" i="13"/>
  <c r="P1279" i="13"/>
  <c r="P1342" i="13"/>
  <c r="P1408" i="13"/>
  <c r="P1437" i="13"/>
  <c r="P1439" i="13"/>
  <c r="P1441" i="13"/>
  <c r="P1443" i="13"/>
  <c r="P1513" i="13"/>
  <c r="P1515" i="13"/>
  <c r="P1517" i="13"/>
  <c r="P1584" i="13"/>
  <c r="P1586" i="13"/>
  <c r="P1662" i="13"/>
  <c r="P1695" i="13"/>
  <c r="P1706" i="13"/>
  <c r="P1763" i="13"/>
  <c r="P1859" i="13"/>
  <c r="P1962" i="13"/>
  <c r="P1966" i="13"/>
  <c r="P1968" i="13"/>
  <c r="P1970" i="13"/>
  <c r="P735" i="13"/>
  <c r="P1915" i="13"/>
  <c r="P152" i="13"/>
  <c r="P147" i="13"/>
  <c r="P143" i="13"/>
  <c r="P141" i="13"/>
  <c r="P221" i="13"/>
  <c r="P227" i="13"/>
  <c r="P233" i="13"/>
  <c r="P290" i="13"/>
  <c r="P317" i="13"/>
  <c r="P319" i="13"/>
  <c r="P330" i="13"/>
  <c r="P334" i="13"/>
  <c r="P389" i="13"/>
  <c r="P391" i="13"/>
  <c r="P393" i="13"/>
  <c r="P407" i="13"/>
  <c r="P409" i="13"/>
  <c r="P902" i="13"/>
  <c r="P924" i="13"/>
  <c r="P926" i="13"/>
  <c r="P932" i="13"/>
  <c r="P1067" i="13"/>
  <c r="P1075" i="13"/>
  <c r="P1170" i="13"/>
  <c r="P1260" i="13"/>
  <c r="P1360" i="13"/>
  <c r="P1362" i="13"/>
  <c r="P1364" i="13"/>
  <c r="P1426" i="13"/>
  <c r="P1430" i="13"/>
  <c r="P1450" i="13"/>
  <c r="P1502" i="13"/>
  <c r="P1504" i="13"/>
  <c r="P1510" i="13"/>
  <c r="P1539" i="13"/>
  <c r="P1591" i="13"/>
  <c r="P1661" i="13"/>
  <c r="P1669" i="13"/>
  <c r="P1692" i="13"/>
  <c r="P1846" i="13"/>
  <c r="P1858" i="13"/>
  <c r="P1927" i="13"/>
  <c r="P753" i="13"/>
  <c r="P755" i="13"/>
  <c r="P153" i="13"/>
  <c r="P140" i="13"/>
  <c r="P132" i="13"/>
  <c r="P130" i="13"/>
  <c r="P128" i="13"/>
  <c r="P124" i="13"/>
  <c r="P204" i="13"/>
  <c r="P206" i="13"/>
  <c r="P210" i="13"/>
  <c r="P212" i="13"/>
  <c r="P214" i="13"/>
  <c r="P325" i="13"/>
  <c r="P327" i="13"/>
  <c r="P331" i="13"/>
  <c r="P384" i="13"/>
  <c r="P406" i="13"/>
  <c r="P408" i="13"/>
  <c r="P464" i="13"/>
  <c r="P470" i="13"/>
  <c r="P488" i="13"/>
  <c r="P490" i="13"/>
  <c r="P650" i="13"/>
  <c r="P662" i="13"/>
  <c r="P925" i="13"/>
  <c r="P1072" i="13"/>
  <c r="P1074" i="13"/>
  <c r="P1086" i="13"/>
  <c r="P1111" i="13"/>
  <c r="P1167" i="13"/>
  <c r="P1369" i="13"/>
  <c r="P1495" i="13"/>
  <c r="P1503" i="13"/>
  <c r="P1533" i="13"/>
  <c r="P1538" i="13"/>
  <c r="P1621" i="13"/>
  <c r="P1627" i="13"/>
  <c r="P1685" i="13"/>
  <c r="P1691" i="13"/>
  <c r="P972" i="13"/>
  <c r="P1827" i="13"/>
  <c r="P158" i="13"/>
  <c r="P156" i="13"/>
  <c r="P142" i="13"/>
  <c r="P121" i="13"/>
  <c r="P216" i="13"/>
  <c r="P218" i="13"/>
  <c r="P238" i="13"/>
  <c r="P240" i="13"/>
  <c r="P242" i="13"/>
  <c r="P244" i="13"/>
  <c r="P246" i="13"/>
  <c r="P248" i="13"/>
  <c r="P289" i="13"/>
  <c r="P294" i="13"/>
  <c r="P296" i="13"/>
  <c r="P301" i="13"/>
  <c r="P395" i="13"/>
  <c r="P1236" i="13"/>
  <c r="P1519" i="13"/>
  <c r="P161" i="13"/>
  <c r="P159" i="13"/>
  <c r="P145" i="13"/>
  <c r="P134" i="13"/>
  <c r="P120" i="13"/>
  <c r="P203" i="13"/>
  <c r="P217" i="13"/>
  <c r="P225" i="13"/>
  <c r="P232" i="13"/>
  <c r="P237" i="13"/>
  <c r="P288" i="13"/>
  <c r="P324" i="13"/>
  <c r="P566" i="13"/>
  <c r="P1193" i="13"/>
  <c r="P1243" i="13"/>
  <c r="P1753" i="13"/>
  <c r="P1856" i="13"/>
  <c r="P1961" i="13"/>
  <c r="P732" i="13"/>
  <c r="P404" i="13"/>
  <c r="P467" i="13"/>
  <c r="P497" i="13"/>
  <c r="P499" i="13"/>
  <c r="P501" i="13"/>
  <c r="P547" i="13"/>
  <c r="P549" i="13"/>
  <c r="P551" i="13"/>
  <c r="P555" i="13"/>
  <c r="P561" i="13"/>
  <c r="P568" i="13"/>
  <c r="P572" i="13"/>
  <c r="P574" i="13"/>
  <c r="P582" i="13"/>
  <c r="P584" i="13"/>
  <c r="P586" i="13"/>
  <c r="P633" i="13"/>
  <c r="P644" i="13"/>
  <c r="P646" i="13"/>
  <c r="P663" i="13"/>
  <c r="P826" i="13"/>
  <c r="P992" i="13"/>
  <c r="P1070" i="13"/>
  <c r="P1102" i="13"/>
  <c r="P1172" i="13"/>
  <c r="P1182" i="13"/>
  <c r="P1255" i="13"/>
  <c r="P1268" i="13"/>
  <c r="P1270" i="13"/>
  <c r="P1353" i="13"/>
  <c r="P1414" i="13"/>
  <c r="P1416" i="13"/>
  <c r="P1499" i="13"/>
  <c r="P1501" i="13"/>
  <c r="P1581" i="13"/>
  <c r="P1623" i="13"/>
  <c r="P1625" i="13"/>
  <c r="P1687" i="13"/>
  <c r="P1689" i="13"/>
  <c r="P1701" i="13"/>
  <c r="P1712" i="13"/>
  <c r="P1755" i="13"/>
  <c r="P1766" i="13"/>
  <c r="P1852" i="13"/>
  <c r="P1854" i="13"/>
  <c r="P1869" i="13"/>
  <c r="P1933" i="13"/>
  <c r="P1935" i="13"/>
  <c r="P1939" i="13"/>
  <c r="P1954" i="13"/>
  <c r="P1956" i="13"/>
  <c r="P729" i="13"/>
  <c r="P749" i="13"/>
  <c r="P751" i="13"/>
  <c r="P309" i="13"/>
  <c r="P311" i="13"/>
  <c r="P321" i="13"/>
  <c r="P328" i="13"/>
  <c r="P333" i="13"/>
  <c r="P374" i="13"/>
  <c r="P376" i="13"/>
  <c r="P378" i="13"/>
  <c r="P388" i="13"/>
  <c r="P390" i="13"/>
  <c r="P413" i="13"/>
  <c r="P417" i="13"/>
  <c r="P476" i="13"/>
  <c r="P478" i="13"/>
  <c r="P483" i="13"/>
  <c r="P591" i="13"/>
  <c r="P667" i="13"/>
  <c r="P673" i="13"/>
  <c r="P815" i="13"/>
  <c r="P898" i="13"/>
  <c r="P900" i="13"/>
  <c r="P1076" i="13"/>
  <c r="P1186" i="13"/>
  <c r="P1192" i="13"/>
  <c r="P1365" i="13"/>
  <c r="P1444" i="13"/>
  <c r="P1505" i="13"/>
  <c r="P1507" i="13"/>
  <c r="P1523" i="13"/>
  <c r="P1525" i="13"/>
  <c r="P1587" i="13"/>
  <c r="P1600" i="13"/>
  <c r="P1610" i="13"/>
  <c r="P1614" i="13"/>
  <c r="P1663" i="13"/>
  <c r="P1665" i="13"/>
  <c r="P1843" i="13"/>
  <c r="P1845" i="13"/>
  <c r="P1860" i="13"/>
  <c r="P1862" i="13"/>
  <c r="P1960" i="13"/>
  <c r="P1971" i="13"/>
  <c r="P763" i="13"/>
  <c r="P385" i="13"/>
  <c r="P473" i="13"/>
  <c r="P562" i="13"/>
  <c r="P657" i="13"/>
  <c r="P674" i="13"/>
  <c r="P816" i="13"/>
  <c r="P930" i="13"/>
  <c r="P1428" i="13"/>
  <c r="P1447" i="13"/>
  <c r="P1588" i="13"/>
  <c r="P1595" i="13"/>
  <c r="P1599" i="13"/>
  <c r="P1677" i="13"/>
  <c r="P1697" i="13"/>
  <c r="P1964" i="13"/>
  <c r="P721" i="13"/>
  <c r="P739" i="13"/>
  <c r="P222" i="13"/>
  <c r="P303" i="13"/>
  <c r="P495" i="13"/>
  <c r="P557" i="13"/>
  <c r="P563" i="13"/>
  <c r="P576" i="13"/>
  <c r="P131" i="13"/>
  <c r="P125" i="13"/>
  <c r="P583" i="13"/>
  <c r="P643" i="13"/>
  <c r="P654" i="13"/>
  <c r="P668" i="13"/>
  <c r="P834" i="13"/>
  <c r="P1257" i="13"/>
  <c r="P1703" i="13"/>
  <c r="P1757" i="13"/>
  <c r="P734" i="13"/>
  <c r="P977" i="13"/>
  <c r="P1026" i="13"/>
  <c r="P1069" i="13"/>
  <c r="P1101" i="13"/>
  <c r="P1168" i="13"/>
  <c r="P1178" i="13"/>
  <c r="P1347" i="13"/>
  <c r="P1541" i="13"/>
  <c r="P1580" i="13"/>
  <c r="P1765" i="13"/>
  <c r="P1940" i="13"/>
  <c r="A103" i="38" l="1"/>
  <c r="A104" i="38" s="1"/>
  <c r="A105" i="38" s="1"/>
  <c r="A106" i="38" s="1"/>
  <c r="A107" i="38" s="1"/>
  <c r="A108" i="38" s="1"/>
  <c r="A109" i="38" s="1"/>
  <c r="A110" i="38" s="1"/>
  <c r="A111" i="38" s="1"/>
  <c r="A112" i="38" s="1"/>
  <c r="A113" i="38" s="1"/>
  <c r="A114" i="38" s="1"/>
  <c r="A115" i="38" s="1"/>
  <c r="A116" i="38" s="1"/>
  <c r="A117" i="38" s="1"/>
  <c r="A118" i="38" s="1"/>
  <c r="A119" i="38" s="1"/>
  <c r="E87" i="2"/>
  <c r="A49" i="35"/>
  <c r="A50" i="35" s="1"/>
  <c r="A51" i="35" s="1"/>
  <c r="A52" i="35" s="1"/>
  <c r="A53" i="35" s="1"/>
  <c r="A54" i="35" s="1"/>
  <c r="A55" i="35" s="1"/>
  <c r="A56" i="35" s="1"/>
  <c r="A57" i="35" s="1"/>
  <c r="A58" i="35" s="1"/>
  <c r="A59" i="35" s="1"/>
  <c r="A60" i="35" s="1"/>
  <c r="A61" i="35" s="1"/>
  <c r="A62" i="35" s="1"/>
  <c r="D235" i="2" s="1"/>
  <c r="E80" i="2"/>
  <c r="E85" i="2"/>
  <c r="E81" i="2"/>
  <c r="E82" i="2"/>
  <c r="A50" i="38"/>
  <c r="A51" i="38" s="1"/>
  <c r="A52" i="38" s="1"/>
  <c r="A53" i="38" s="1"/>
  <c r="E88" i="2"/>
  <c r="E83" i="2"/>
  <c r="E86" i="2"/>
  <c r="E89" i="2"/>
  <c r="E90" i="2"/>
  <c r="G100" i="2"/>
  <c r="E117" i="30"/>
  <c r="E22" i="20"/>
  <c r="G201" i="2"/>
  <c r="J82" i="2"/>
  <c r="J83" i="2" s="1"/>
  <c r="L83" i="2" s="1"/>
  <c r="E20" i="5"/>
  <c r="D968" i="13"/>
  <c r="E968" i="13" s="1"/>
  <c r="G1655" i="13"/>
  <c r="I42" i="5"/>
  <c r="H23" i="47"/>
  <c r="K23" i="47" s="1"/>
  <c r="H22" i="47"/>
  <c r="K22" i="47" s="1"/>
  <c r="G142" i="38"/>
  <c r="H24" i="47"/>
  <c r="K24" i="47" s="1"/>
  <c r="O783" i="13"/>
  <c r="O1901" i="13"/>
  <c r="D34" i="5"/>
  <c r="O435" i="13"/>
  <c r="O695" i="13"/>
  <c r="O1385" i="13"/>
  <c r="O521" i="13"/>
  <c r="D33" i="2"/>
  <c r="E31" i="2"/>
  <c r="D104" i="41"/>
  <c r="O90" i="13"/>
  <c r="O349" i="13"/>
  <c r="O1213" i="13"/>
  <c r="O1041" i="13"/>
  <c r="O869" i="13"/>
  <c r="O1299" i="13"/>
  <c r="O21" i="13"/>
  <c r="O1643" i="13"/>
  <c r="G51" i="5"/>
  <c r="I49" i="5"/>
  <c r="I51" i="5" s="1"/>
  <c r="G108" i="2" s="1"/>
  <c r="D23" i="50"/>
  <c r="H22" i="50"/>
  <c r="K22" i="50" s="1"/>
  <c r="O263" i="13"/>
  <c r="E103" i="41"/>
  <c r="E95" i="41"/>
  <c r="C104" i="41"/>
  <c r="E20" i="2"/>
  <c r="A50" i="11"/>
  <c r="A51" i="11" s="1"/>
  <c r="E89" i="41"/>
  <c r="D23" i="49"/>
  <c r="H22" i="49"/>
  <c r="K22" i="49" s="1"/>
  <c r="G20" i="5"/>
  <c r="I19" i="5"/>
  <c r="I17" i="5"/>
  <c r="G104" i="2" s="1"/>
  <c r="I61" i="11"/>
  <c r="I63" i="11" s="1"/>
  <c r="I65" i="11" s="1"/>
  <c r="G23" i="38"/>
  <c r="S33" i="21"/>
  <c r="L217" i="2" s="1"/>
  <c r="G274" i="2"/>
  <c r="E77" i="41" s="1"/>
  <c r="E79" i="41" s="1"/>
  <c r="E80" i="41" s="1"/>
  <c r="E51" i="41" s="1"/>
  <c r="E56" i="41" s="1"/>
  <c r="G127" i="2"/>
  <c r="H25" i="47"/>
  <c r="K25" i="47" s="1"/>
  <c r="F26" i="47"/>
  <c r="N21" i="13"/>
  <c r="O2004" i="13"/>
  <c r="I26" i="5"/>
  <c r="G122" i="38"/>
  <c r="G128" i="38" s="1"/>
  <c r="I35" i="5"/>
  <c r="E36" i="5"/>
  <c r="G56" i="38"/>
  <c r="I27" i="5"/>
  <c r="A50" i="41"/>
  <c r="A51" i="41" s="1"/>
  <c r="A52" i="41" s="1"/>
  <c r="A53" i="41" s="1"/>
  <c r="A54" i="41" s="1"/>
  <c r="A55" i="41" s="1"/>
  <c r="A56" i="41" s="1"/>
  <c r="A26" i="5"/>
  <c r="A27" i="5" s="1"/>
  <c r="A28" i="5" s="1"/>
  <c r="A31" i="5" s="1"/>
  <c r="A33" i="5" s="1"/>
  <c r="F27" i="49"/>
  <c r="A41" i="48"/>
  <c r="B43" i="48" s="1"/>
  <c r="E159" i="2"/>
  <c r="G44" i="5"/>
  <c r="I25" i="5"/>
  <c r="G28" i="5"/>
  <c r="F27" i="50"/>
  <c r="C70" i="13"/>
  <c r="C70" i="20"/>
  <c r="D36" i="2"/>
  <c r="B36" i="2"/>
  <c r="B37" i="2" s="1"/>
  <c r="F581" i="13"/>
  <c r="D582" i="13" s="1"/>
  <c r="E28" i="5"/>
  <c r="I33" i="5"/>
  <c r="G36" i="5"/>
  <c r="K57" i="11"/>
  <c r="K58" i="11" s="1"/>
  <c r="K61" i="11"/>
  <c r="K63" i="11" s="1"/>
  <c r="K65" i="11" s="1"/>
  <c r="L94" i="2"/>
  <c r="M48" i="11"/>
  <c r="G51" i="11"/>
  <c r="G61" i="11" s="1"/>
  <c r="E43" i="11"/>
  <c r="L192" i="2"/>
  <c r="G194" i="2"/>
  <c r="E1440" i="20"/>
  <c r="F1440" i="20" s="1"/>
  <c r="D1441" i="20" s="1"/>
  <c r="E1707" i="20"/>
  <c r="F1707" i="20" s="1"/>
  <c r="D1708" i="20" s="1"/>
  <c r="D236" i="2" l="1"/>
  <c r="G207" i="2"/>
  <c r="J181" i="2"/>
  <c r="L181" i="2" s="1"/>
  <c r="F968" i="13"/>
  <c r="D969" i="13" s="1"/>
  <c r="E969" i="13" s="1"/>
  <c r="F969" i="13" s="1"/>
  <c r="D970" i="13" s="1"/>
  <c r="P21" i="13"/>
  <c r="E104" i="41"/>
  <c r="G581" i="13"/>
  <c r="A52" i="11"/>
  <c r="C61" i="11"/>
  <c r="D24" i="50"/>
  <c r="H23" i="50"/>
  <c r="K23" i="50" s="1"/>
  <c r="C51" i="11"/>
  <c r="E105" i="41"/>
  <c r="L262" i="2"/>
  <c r="H23" i="49"/>
  <c r="K23" i="49" s="1"/>
  <c r="D24" i="49"/>
  <c r="I20" i="5"/>
  <c r="L104" i="2" s="1"/>
  <c r="H273" i="2"/>
  <c r="I273" i="2" s="1"/>
  <c r="H271" i="2"/>
  <c r="H272" i="2"/>
  <c r="I272" i="2" s="1"/>
  <c r="F27" i="47"/>
  <c r="H26" i="47"/>
  <c r="K26" i="47" s="1"/>
  <c r="E58" i="41"/>
  <c r="J271" i="2" s="1"/>
  <c r="L261" i="2"/>
  <c r="B39" i="2"/>
  <c r="B42" i="2" s="1"/>
  <c r="B44" i="2" s="1"/>
  <c r="B24" i="2"/>
  <c r="D28" i="5"/>
  <c r="F28" i="50"/>
  <c r="F582" i="13"/>
  <c r="D583" i="13" s="1"/>
  <c r="G105" i="2"/>
  <c r="I28" i="5"/>
  <c r="L105" i="2" s="1"/>
  <c r="F28" i="49"/>
  <c r="A34" i="5"/>
  <c r="A35" i="5" s="1"/>
  <c r="A36" i="5" s="1"/>
  <c r="A39" i="5" s="1"/>
  <c r="A41" i="5" s="1"/>
  <c r="B58" i="41"/>
  <c r="E261" i="2"/>
  <c r="A58" i="41"/>
  <c r="G106" i="2"/>
  <c r="I36" i="5"/>
  <c r="L106" i="2" s="1"/>
  <c r="E160" i="2"/>
  <c r="A43" i="48"/>
  <c r="B56" i="41"/>
  <c r="G63" i="11"/>
  <c r="M61" i="11"/>
  <c r="M51" i="11"/>
  <c r="G53" i="11"/>
  <c r="K67" i="11"/>
  <c r="K68" i="11" s="1"/>
  <c r="E1441" i="20"/>
  <c r="F1441" i="20" s="1"/>
  <c r="D1442" i="20" s="1"/>
  <c r="E1708" i="20"/>
  <c r="F1708" i="20" s="1"/>
  <c r="D1709" i="20" s="1"/>
  <c r="G59" i="20" l="1"/>
  <c r="H76" i="13"/>
  <c r="G76" i="20"/>
  <c r="F59" i="13"/>
  <c r="D22" i="20"/>
  <c r="F22" i="20" s="1"/>
  <c r="G968" i="13"/>
  <c r="E168" i="2"/>
  <c r="A46" i="9"/>
  <c r="A47" i="9" s="1"/>
  <c r="D36" i="5"/>
  <c r="D25" i="49"/>
  <c r="H24" i="49"/>
  <c r="K24" i="49" s="1"/>
  <c r="A53" i="11"/>
  <c r="C53" i="11"/>
  <c r="G582" i="13"/>
  <c r="D25" i="50"/>
  <c r="H24" i="50"/>
  <c r="K24" i="50" s="1"/>
  <c r="I271" i="2"/>
  <c r="L272" i="2"/>
  <c r="D22" i="13"/>
  <c r="F22" i="13" s="1"/>
  <c r="H27" i="47"/>
  <c r="K27" i="47" s="1"/>
  <c r="F28" i="47"/>
  <c r="L273" i="2"/>
  <c r="D23" i="20"/>
  <c r="F23" i="20" s="1"/>
  <c r="D23" i="13"/>
  <c r="F23" i="13" s="1"/>
  <c r="E21" i="13"/>
  <c r="E21" i="20"/>
  <c r="F29" i="49"/>
  <c r="F29" i="50"/>
  <c r="F583" i="13"/>
  <c r="D584" i="13" s="1"/>
  <c r="A45" i="48"/>
  <c r="A61" i="41"/>
  <c r="D271" i="2"/>
  <c r="A42" i="5"/>
  <c r="A43" i="5" s="1"/>
  <c r="A44" i="5" s="1"/>
  <c r="A47" i="5" s="1"/>
  <c r="A49" i="5" s="1"/>
  <c r="B45" i="2"/>
  <c r="G55" i="11"/>
  <c r="M53" i="11"/>
  <c r="G65" i="11"/>
  <c r="M63" i="11"/>
  <c r="E1442" i="20"/>
  <c r="F1442" i="20" s="1"/>
  <c r="D1443" i="20" s="1"/>
  <c r="E970" i="13"/>
  <c r="F970" i="13" s="1"/>
  <c r="D971" i="13" s="1"/>
  <c r="E1709" i="20"/>
  <c r="F1709" i="20" s="1"/>
  <c r="D1710" i="20" s="1"/>
  <c r="G969" i="13"/>
  <c r="A48" i="9" l="1"/>
  <c r="A49" i="9" s="1"/>
  <c r="A50" i="9" s="1"/>
  <c r="A51" i="9" s="1"/>
  <c r="A52" i="9" s="1"/>
  <c r="A53" i="9" s="1"/>
  <c r="A54" i="9" s="1"/>
  <c r="A55" i="9" s="1"/>
  <c r="A56" i="9" s="1"/>
  <c r="A57" i="9" s="1"/>
  <c r="A58" i="9" s="1"/>
  <c r="A59" i="9" s="1"/>
  <c r="A60" i="9" s="1"/>
  <c r="A61" i="9" s="1"/>
  <c r="A62" i="9" s="1"/>
  <c r="A64" i="9" s="1"/>
  <c r="D21" i="13"/>
  <c r="F21" i="13" s="1"/>
  <c r="F24" i="13" s="1"/>
  <c r="E29" i="13" s="1"/>
  <c r="A54" i="11"/>
  <c r="A55" i="11" s="1"/>
  <c r="D26" i="50"/>
  <c r="H25" i="50"/>
  <c r="K25" i="50" s="1"/>
  <c r="G583" i="13"/>
  <c r="D26" i="49"/>
  <c r="H25" i="49"/>
  <c r="K25" i="49" s="1"/>
  <c r="D21" i="20"/>
  <c r="F21" i="20" s="1"/>
  <c r="F24" i="20" s="1"/>
  <c r="F29" i="20" s="1"/>
  <c r="L271" i="2"/>
  <c r="H28" i="47"/>
  <c r="K28" i="47" s="1"/>
  <c r="F29" i="47"/>
  <c r="B46" i="2"/>
  <c r="B48" i="2" s="1"/>
  <c r="B66" i="2" s="1"/>
  <c r="F30" i="50"/>
  <c r="A50" i="5"/>
  <c r="A51" i="5" s="1"/>
  <c r="A52" i="5" s="1"/>
  <c r="A47" i="48"/>
  <c r="C21" i="48" s="1"/>
  <c r="E161" i="2"/>
  <c r="F30" i="49"/>
  <c r="D63" i="41"/>
  <c r="A64" i="41"/>
  <c r="F584" i="13"/>
  <c r="D585" i="13" s="1"/>
  <c r="D44" i="5"/>
  <c r="B47" i="48"/>
  <c r="E66" i="11"/>
  <c r="E67" i="11" s="1"/>
  <c r="G66" i="11"/>
  <c r="G67" i="11" s="1"/>
  <c r="G68" i="11" s="1"/>
  <c r="I66" i="11"/>
  <c r="I67" i="11" s="1"/>
  <c r="I68" i="11" s="1"/>
  <c r="E56" i="11"/>
  <c r="E57" i="11" s="1"/>
  <c r="G56" i="11"/>
  <c r="G57" i="11" s="1"/>
  <c r="G58" i="11" s="1"/>
  <c r="I56" i="11"/>
  <c r="I57" i="11" s="1"/>
  <c r="I58" i="11" s="1"/>
  <c r="E1443" i="20"/>
  <c r="F1443" i="20" s="1"/>
  <c r="D1444" i="20" s="1"/>
  <c r="E971" i="13"/>
  <c r="F971" i="13" s="1"/>
  <c r="E1710" i="20"/>
  <c r="F1710" i="20" s="1"/>
  <c r="D1711" i="20" s="1"/>
  <c r="G970" i="13"/>
  <c r="A67" i="9" l="1"/>
  <c r="A68" i="9" s="1"/>
  <c r="A69" i="9" s="1"/>
  <c r="A70" i="9" s="1"/>
  <c r="A71" i="9" s="1"/>
  <c r="A72" i="9" s="1"/>
  <c r="A74" i="9" s="1"/>
  <c r="E170" i="2" s="1"/>
  <c r="E169" i="2"/>
  <c r="L274" i="2"/>
  <c r="E48" i="2"/>
  <c r="D319" i="2"/>
  <c r="C55" i="11"/>
  <c r="A56" i="11"/>
  <c r="C56" i="11"/>
  <c r="D27" i="49"/>
  <c r="H26" i="49"/>
  <c r="K26" i="49" s="1"/>
  <c r="D27" i="50"/>
  <c r="H26" i="50"/>
  <c r="K26" i="50" s="1"/>
  <c r="H29" i="47"/>
  <c r="K29" i="47" s="1"/>
  <c r="F30" i="47"/>
  <c r="F585" i="13"/>
  <c r="D586" i="13" s="1"/>
  <c r="F31" i="49"/>
  <c r="D51" i="5"/>
  <c r="G584" i="13"/>
  <c r="B67" i="2"/>
  <c r="B68" i="2" s="1"/>
  <c r="A65" i="41"/>
  <c r="A66" i="41" s="1"/>
  <c r="A67" i="41" s="1"/>
  <c r="A68" i="41" s="1"/>
  <c r="A69" i="41" s="1"/>
  <c r="A70" i="41" s="1"/>
  <c r="A71" i="41" s="1"/>
  <c r="A72" i="41" s="1"/>
  <c r="A73" i="41" s="1"/>
  <c r="A74" i="41" s="1"/>
  <c r="F31" i="50"/>
  <c r="D972" i="13"/>
  <c r="E972" i="13" s="1"/>
  <c r="F972" i="13" s="1"/>
  <c r="G971" i="13"/>
  <c r="M67" i="11"/>
  <c r="E68" i="11"/>
  <c r="E58" i="11"/>
  <c r="M57" i="11"/>
  <c r="E1711" i="20"/>
  <c r="F1711" i="20" s="1"/>
  <c r="D1712" i="20" s="1"/>
  <c r="E1444" i="20"/>
  <c r="F1444" i="20" s="1"/>
  <c r="D1445" i="20" s="1"/>
  <c r="G198" i="2" l="1"/>
  <c r="D28" i="50"/>
  <c r="H27" i="50"/>
  <c r="K27" i="50" s="1"/>
  <c r="A57" i="11"/>
  <c r="C57" i="11"/>
  <c r="D28" i="49"/>
  <c r="H27" i="49"/>
  <c r="K27" i="49" s="1"/>
  <c r="F31" i="47"/>
  <c r="H30" i="47"/>
  <c r="K30" i="47" s="1"/>
  <c r="A76" i="41"/>
  <c r="B50" i="41"/>
  <c r="F32" i="50"/>
  <c r="B76" i="41"/>
  <c r="B69" i="2"/>
  <c r="B70" i="2" s="1"/>
  <c r="E234" i="2"/>
  <c r="C75" i="13"/>
  <c r="C75" i="20"/>
  <c r="F586" i="13"/>
  <c r="D587" i="13" s="1"/>
  <c r="F32" i="49"/>
  <c r="G585" i="13"/>
  <c r="M58" i="11"/>
  <c r="E59" i="11" s="1"/>
  <c r="M68" i="11"/>
  <c r="E69" i="11" s="1"/>
  <c r="D973" i="13"/>
  <c r="G972" i="13"/>
  <c r="E1712" i="20"/>
  <c r="F1712" i="20" s="1"/>
  <c r="D1713" i="20" s="1"/>
  <c r="E1445" i="20"/>
  <c r="F1445" i="20" s="1"/>
  <c r="D1446" i="20" s="1"/>
  <c r="E35" i="13" l="1"/>
  <c r="G219" i="2"/>
  <c r="L219" i="2"/>
  <c r="F35" i="20"/>
  <c r="D29" i="49"/>
  <c r="H28" i="49"/>
  <c r="K28" i="49" s="1"/>
  <c r="C58" i="11"/>
  <c r="A58" i="11"/>
  <c r="D29" i="50"/>
  <c r="H28" i="50"/>
  <c r="K28" i="50" s="1"/>
  <c r="F32" i="47"/>
  <c r="H31" i="47"/>
  <c r="K31" i="47" s="1"/>
  <c r="G586" i="13"/>
  <c r="F39" i="50"/>
  <c r="F36" i="50"/>
  <c r="F587" i="13"/>
  <c r="D588" i="13" s="1"/>
  <c r="F39" i="49"/>
  <c r="F36" i="49"/>
  <c r="B71" i="2"/>
  <c r="B72" i="2" s="1"/>
  <c r="A77" i="41"/>
  <c r="A78" i="41" s="1"/>
  <c r="A79" i="41" s="1"/>
  <c r="A80" i="41" s="1"/>
  <c r="G69" i="11"/>
  <c r="I69" i="11"/>
  <c r="G59" i="11"/>
  <c r="H32" i="30" s="1"/>
  <c r="I32" i="30" s="1"/>
  <c r="I59" i="11"/>
  <c r="E1446" i="20"/>
  <c r="F1446" i="20" s="1"/>
  <c r="D1447" i="20" s="1"/>
  <c r="E1713" i="20"/>
  <c r="F1713" i="20" s="1"/>
  <c r="D1714" i="20" s="1"/>
  <c r="E973" i="13"/>
  <c r="F973" i="13" s="1"/>
  <c r="D974" i="13" s="1"/>
  <c r="I30" i="30" l="1"/>
  <c r="I36" i="30"/>
  <c r="I34" i="30"/>
  <c r="I35" i="30"/>
  <c r="B80" i="41"/>
  <c r="G587" i="13"/>
  <c r="A59" i="11"/>
  <c r="A61" i="11" s="1"/>
  <c r="C59" i="11"/>
  <c r="D30" i="50"/>
  <c r="H29" i="50"/>
  <c r="K29" i="50" s="1"/>
  <c r="D30" i="49"/>
  <c r="H29" i="49"/>
  <c r="K29" i="49" s="1"/>
  <c r="I33" i="30"/>
  <c r="H32" i="47"/>
  <c r="F39" i="47"/>
  <c r="F40" i="47" s="1"/>
  <c r="F41" i="47" s="1"/>
  <c r="F36" i="47"/>
  <c r="B73" i="2"/>
  <c r="B74" i="2" s="1"/>
  <c r="F40" i="49"/>
  <c r="A85" i="41"/>
  <c r="B51" i="41"/>
  <c r="F588" i="13"/>
  <c r="D589" i="13" s="1"/>
  <c r="F40" i="50"/>
  <c r="E1447" i="20"/>
  <c r="F1447" i="20" s="1"/>
  <c r="E1714" i="20"/>
  <c r="F1714" i="20" s="1"/>
  <c r="E974" i="13"/>
  <c r="F974" i="13" s="1"/>
  <c r="G973" i="13"/>
  <c r="I27" i="30" l="1"/>
  <c r="D31" i="50"/>
  <c r="H30" i="50"/>
  <c r="K30" i="50" s="1"/>
  <c r="D31" i="49"/>
  <c r="H30" i="49"/>
  <c r="A62" i="11"/>
  <c r="A63" i="11" s="1"/>
  <c r="K32" i="47"/>
  <c r="K33" i="47" s="1"/>
  <c r="D36" i="47" s="1"/>
  <c r="H33" i="47"/>
  <c r="F41" i="50"/>
  <c r="F589" i="13"/>
  <c r="D590" i="13" s="1"/>
  <c r="F42" i="47"/>
  <c r="G588" i="13"/>
  <c r="A86" i="41"/>
  <c r="F41" i="49"/>
  <c r="B77" i="2"/>
  <c r="B79" i="2" s="1"/>
  <c r="B80" i="2" s="1"/>
  <c r="E77" i="2"/>
  <c r="D975" i="13"/>
  <c r="G974" i="13"/>
  <c r="D1715" i="20"/>
  <c r="D1448" i="20"/>
  <c r="G589" i="13" l="1"/>
  <c r="D32" i="49"/>
  <c r="H32" i="49" s="1"/>
  <c r="K32" i="49" s="1"/>
  <c r="H31" i="49"/>
  <c r="K31" i="49" s="1"/>
  <c r="A64" i="11"/>
  <c r="A65" i="11" s="1"/>
  <c r="C63" i="11"/>
  <c r="D32" i="50"/>
  <c r="H32" i="50" s="1"/>
  <c r="K32" i="50" s="1"/>
  <c r="H31" i="50"/>
  <c r="K30" i="49"/>
  <c r="H36" i="47"/>
  <c r="K36" i="47" s="1"/>
  <c r="F43" i="47"/>
  <c r="F42" i="50"/>
  <c r="B81" i="2"/>
  <c r="B82" i="2" s="1"/>
  <c r="F42" i="49"/>
  <c r="A87" i="41"/>
  <c r="A88" i="41" s="1"/>
  <c r="F590" i="13"/>
  <c r="D591" i="13" s="1"/>
  <c r="E1448" i="20"/>
  <c r="F1448" i="20" s="1"/>
  <c r="E1715" i="20"/>
  <c r="F1715" i="20" s="1"/>
  <c r="E975" i="13"/>
  <c r="F975" i="13" s="1"/>
  <c r="D976" i="13" s="1"/>
  <c r="C65" i="11" l="1"/>
  <c r="H33" i="49"/>
  <c r="G590" i="13"/>
  <c r="B88" i="41"/>
  <c r="K31" i="50"/>
  <c r="K33" i="50" s="1"/>
  <c r="D36" i="50" s="1"/>
  <c r="H36" i="50" s="1"/>
  <c r="K36" i="50" s="1"/>
  <c r="H33" i="50"/>
  <c r="A66" i="11"/>
  <c r="C66" i="11"/>
  <c r="K33" i="49"/>
  <c r="D36" i="49" s="1"/>
  <c r="D39" i="47"/>
  <c r="I39" i="47"/>
  <c r="F43" i="50"/>
  <c r="F43" i="49"/>
  <c r="F44" i="47"/>
  <c r="F591" i="13"/>
  <c r="D592" i="13" s="1"/>
  <c r="E94" i="2"/>
  <c r="B83" i="2"/>
  <c r="B84" i="2" s="1"/>
  <c r="A89" i="41"/>
  <c r="B89" i="41"/>
  <c r="E976" i="13"/>
  <c r="F976" i="13" s="1"/>
  <c r="D977" i="13" s="1"/>
  <c r="G975" i="13"/>
  <c r="D1716" i="20"/>
  <c r="D1449" i="20"/>
  <c r="E95" i="2" l="1"/>
  <c r="D39" i="50"/>
  <c r="I39" i="50"/>
  <c r="I40" i="50" s="1"/>
  <c r="I41" i="50" s="1"/>
  <c r="I42" i="50" s="1"/>
  <c r="I43" i="50" s="1"/>
  <c r="I44" i="50" s="1"/>
  <c r="I45" i="50" s="1"/>
  <c r="I46" i="50" s="1"/>
  <c r="I47" i="50" s="1"/>
  <c r="I48" i="50" s="1"/>
  <c r="I49" i="50" s="1"/>
  <c r="I50" i="50" s="1"/>
  <c r="H36" i="49"/>
  <c r="K36" i="49" s="1"/>
  <c r="A67" i="11"/>
  <c r="C67" i="11"/>
  <c r="G591" i="13"/>
  <c r="I40" i="47"/>
  <c r="I41" i="47" s="1"/>
  <c r="I42" i="47" s="1"/>
  <c r="I43" i="47" s="1"/>
  <c r="I44" i="47" s="1"/>
  <c r="I45" i="47" s="1"/>
  <c r="I46" i="47" s="1"/>
  <c r="I47" i="47" s="1"/>
  <c r="I48" i="47" s="1"/>
  <c r="I49" i="47" s="1"/>
  <c r="I50" i="47" s="1"/>
  <c r="H39" i="47"/>
  <c r="K39" i="47"/>
  <c r="D40" i="47" s="1"/>
  <c r="A91" i="41"/>
  <c r="F592" i="13"/>
  <c r="G592" i="13" s="1"/>
  <c r="F44" i="49"/>
  <c r="F44" i="50"/>
  <c r="B85" i="2"/>
  <c r="B86" i="2" s="1"/>
  <c r="F45" i="47"/>
  <c r="E977" i="13"/>
  <c r="F977" i="13" s="1"/>
  <c r="E1716" i="20"/>
  <c r="F1716" i="20" s="1"/>
  <c r="E1449" i="20"/>
  <c r="F1449" i="20" s="1"/>
  <c r="D1450" i="20" s="1"/>
  <c r="G976" i="13"/>
  <c r="I53" i="50" l="1"/>
  <c r="I55" i="50" s="1"/>
  <c r="A68" i="11"/>
  <c r="C68" i="11"/>
  <c r="D39" i="49"/>
  <c r="I39" i="49"/>
  <c r="I53" i="47"/>
  <c r="I55" i="47" s="1"/>
  <c r="K39" i="50"/>
  <c r="D40" i="50" s="1"/>
  <c r="H39" i="50"/>
  <c r="H40" i="47"/>
  <c r="K40" i="47"/>
  <c r="D41" i="47" s="1"/>
  <c r="B87" i="2"/>
  <c r="B88" i="2" s="1"/>
  <c r="F45" i="49"/>
  <c r="F46" i="47"/>
  <c r="F45" i="50"/>
  <c r="E96" i="2"/>
  <c r="A92" i="41"/>
  <c r="D1717" i="20"/>
  <c r="E1717" i="20" s="1"/>
  <c r="F1717" i="20" s="1"/>
  <c r="D978" i="13"/>
  <c r="G977" i="13"/>
  <c r="E1450" i="20"/>
  <c r="F1450" i="20" s="1"/>
  <c r="I40" i="49" l="1"/>
  <c r="I41" i="49" s="1"/>
  <c r="I42" i="49" s="1"/>
  <c r="I43" i="49" s="1"/>
  <c r="I44" i="49" s="1"/>
  <c r="I45" i="49" s="1"/>
  <c r="I46" i="49" s="1"/>
  <c r="I47" i="49" s="1"/>
  <c r="I48" i="49" s="1"/>
  <c r="I49" i="49" s="1"/>
  <c r="I50" i="49" s="1"/>
  <c r="E97" i="2"/>
  <c r="K39" i="49"/>
  <c r="D40" i="49" s="1"/>
  <c r="H39" i="49"/>
  <c r="K40" i="50"/>
  <c r="D41" i="50" s="1"/>
  <c r="H40" i="50"/>
  <c r="C69" i="11"/>
  <c r="A69" i="11"/>
  <c r="K41" i="47"/>
  <c r="D42" i="47" s="1"/>
  <c r="H41" i="47"/>
  <c r="F46" i="50"/>
  <c r="F47" i="47"/>
  <c r="B91" i="2"/>
  <c r="B93" i="2" s="1"/>
  <c r="B94" i="2" s="1"/>
  <c r="E98" i="2"/>
  <c r="E91" i="2"/>
  <c r="A93" i="41"/>
  <c r="A94" i="41" s="1"/>
  <c r="F46" i="49"/>
  <c r="D1451" i="20"/>
  <c r="D1718" i="20"/>
  <c r="E978" i="13"/>
  <c r="F978" i="13" s="1"/>
  <c r="D979" i="13" s="1"/>
  <c r="K40" i="49" l="1"/>
  <c r="D41" i="49" s="1"/>
  <c r="H40" i="49"/>
  <c r="K41" i="50"/>
  <c r="D42" i="50" s="1"/>
  <c r="H41" i="50"/>
  <c r="I53" i="49"/>
  <c r="I55" i="49" s="1"/>
  <c r="B94" i="41"/>
  <c r="K42" i="47"/>
  <c r="D43" i="47" s="1"/>
  <c r="H42" i="47"/>
  <c r="B95" i="2"/>
  <c r="A95" i="41"/>
  <c r="B95" i="41"/>
  <c r="F48" i="47"/>
  <c r="G978" i="13"/>
  <c r="F47" i="49"/>
  <c r="F47" i="50"/>
  <c r="E1718" i="20"/>
  <c r="F1718" i="20" s="1"/>
  <c r="D1719" i="20" s="1"/>
  <c r="E1451" i="20"/>
  <c r="F1451" i="20" s="1"/>
  <c r="D1452" i="20" s="1"/>
  <c r="E979" i="13"/>
  <c r="F979" i="13" s="1"/>
  <c r="D980" i="13" s="1"/>
  <c r="K42" i="50" l="1"/>
  <c r="D43" i="50" s="1"/>
  <c r="H42" i="50"/>
  <c r="K41" i="49"/>
  <c r="D42" i="49" s="1"/>
  <c r="H41" i="49"/>
  <c r="K43" i="47"/>
  <c r="D44" i="47" s="1"/>
  <c r="H43" i="47"/>
  <c r="F48" i="50"/>
  <c r="F49" i="47"/>
  <c r="A97" i="41"/>
  <c r="C64" i="13"/>
  <c r="C64" i="20"/>
  <c r="B96" i="2"/>
  <c r="B97" i="2" s="1"/>
  <c r="B98" i="2" s="1"/>
  <c r="F48" i="49"/>
  <c r="E1452" i="20"/>
  <c r="F1452" i="20" s="1"/>
  <c r="E980" i="13"/>
  <c r="F980" i="13" s="1"/>
  <c r="E1719" i="20"/>
  <c r="F1719" i="20" s="1"/>
  <c r="G979" i="13"/>
  <c r="K42" i="49" l="1"/>
  <c r="D43" i="49" s="1"/>
  <c r="H42" i="49"/>
  <c r="K43" i="50"/>
  <c r="D44" i="50" s="1"/>
  <c r="H43" i="50"/>
  <c r="K44" i="47"/>
  <c r="D45" i="47" s="1"/>
  <c r="H44" i="47"/>
  <c r="A98" i="41"/>
  <c r="F49" i="50"/>
  <c r="F49" i="49"/>
  <c r="B100" i="2"/>
  <c r="E100" i="2"/>
  <c r="F50" i="47"/>
  <c r="D981" i="13"/>
  <c r="E981" i="13" s="1"/>
  <c r="F981" i="13" s="1"/>
  <c r="G980" i="13"/>
  <c r="D1453" i="20"/>
  <c r="D1720" i="20"/>
  <c r="H44" i="50" l="1"/>
  <c r="K44" i="50"/>
  <c r="D45" i="50" s="1"/>
  <c r="H43" i="49"/>
  <c r="K43" i="49"/>
  <c r="D44" i="49" s="1"/>
  <c r="K45" i="47"/>
  <c r="D46" i="47" s="1"/>
  <c r="H45" i="47"/>
  <c r="B103" i="2"/>
  <c r="B104" i="2" s="1"/>
  <c r="C48" i="11"/>
  <c r="F50" i="49"/>
  <c r="F50" i="50"/>
  <c r="A99" i="41"/>
  <c r="A100" i="41" s="1"/>
  <c r="D982" i="13"/>
  <c r="G981" i="13"/>
  <c r="E1720" i="20"/>
  <c r="F1720" i="20" s="1"/>
  <c r="E1453" i="20"/>
  <c r="F1453" i="20" s="1"/>
  <c r="D1454" i="20" s="1"/>
  <c r="K44" i="49" l="1"/>
  <c r="D45" i="49" s="1"/>
  <c r="H44" i="49"/>
  <c r="B100" i="41"/>
  <c r="K45" i="50"/>
  <c r="D46" i="50" s="1"/>
  <c r="H45" i="50"/>
  <c r="H46" i="47"/>
  <c r="K46" i="47"/>
  <c r="D47" i="47" s="1"/>
  <c r="B105" i="2"/>
  <c r="B106" i="2" s="1"/>
  <c r="B107" i="2" s="1"/>
  <c r="B108" i="2" s="1"/>
  <c r="B109" i="2" s="1"/>
  <c r="A101" i="41"/>
  <c r="B103" i="41"/>
  <c r="B101" i="41"/>
  <c r="D1721" i="20"/>
  <c r="E1454" i="20"/>
  <c r="F1454" i="20" s="1"/>
  <c r="E982" i="13"/>
  <c r="F982" i="13" s="1"/>
  <c r="H46" i="50" l="1"/>
  <c r="K46" i="50"/>
  <c r="D47" i="50" s="1"/>
  <c r="E109" i="2"/>
  <c r="H45" i="49"/>
  <c r="K45" i="49"/>
  <c r="D46" i="49" s="1"/>
  <c r="H47" i="47"/>
  <c r="K47" i="47"/>
  <c r="D48" i="47" s="1"/>
  <c r="B111" i="2"/>
  <c r="B113" i="2" s="1"/>
  <c r="B115" i="2" s="1"/>
  <c r="B117" i="2" s="1"/>
  <c r="B118" i="2" s="1"/>
  <c r="A103" i="41"/>
  <c r="B104" i="41"/>
  <c r="D1455" i="20"/>
  <c r="E1455" i="20" s="1"/>
  <c r="F1455" i="20" s="1"/>
  <c r="D983" i="13"/>
  <c r="G982" i="13"/>
  <c r="E1721" i="20"/>
  <c r="F1721" i="20" s="1"/>
  <c r="K47" i="50" l="1"/>
  <c r="D48" i="50" s="1"/>
  <c r="H47" i="50"/>
  <c r="K46" i="49"/>
  <c r="D47" i="49" s="1"/>
  <c r="H46" i="49"/>
  <c r="K48" i="47"/>
  <c r="D49" i="47" s="1"/>
  <c r="H48" i="47"/>
  <c r="E262" i="2"/>
  <c r="A104" i="41"/>
  <c r="B119" i="2"/>
  <c r="B121" i="2" s="1"/>
  <c r="B122" i="2" s="1"/>
  <c r="B123" i="2" s="1"/>
  <c r="B124" i="2" s="1"/>
  <c r="B125" i="2" s="1"/>
  <c r="B126" i="2" s="1"/>
  <c r="B127" i="2" s="1"/>
  <c r="D1722" i="20"/>
  <c r="D1456" i="20"/>
  <c r="E983" i="13"/>
  <c r="F983" i="13" s="1"/>
  <c r="E127" i="2" l="1"/>
  <c r="H47" i="49"/>
  <c r="K47" i="49"/>
  <c r="D48" i="49" s="1"/>
  <c r="K48" i="50"/>
  <c r="D49" i="50" s="1"/>
  <c r="H48" i="50"/>
  <c r="K49" i="47"/>
  <c r="D50" i="47" s="1"/>
  <c r="H49" i="47"/>
  <c r="B129" i="2"/>
  <c r="D131" i="2" s="1"/>
  <c r="B105" i="41"/>
  <c r="A105" i="41"/>
  <c r="D984" i="13"/>
  <c r="G983" i="13"/>
  <c r="E1722" i="20"/>
  <c r="F1722" i="20" s="1"/>
  <c r="E1456" i="20"/>
  <c r="F1456" i="20" s="1"/>
  <c r="H49" i="50" l="1"/>
  <c r="K49" i="50"/>
  <c r="D50" i="50" s="1"/>
  <c r="K48" i="49"/>
  <c r="D49" i="49" s="1"/>
  <c r="H48" i="49"/>
  <c r="H50" i="47"/>
  <c r="H51" i="47" s="1"/>
  <c r="K50" i="47"/>
  <c r="B131" i="2"/>
  <c r="D315" i="2"/>
  <c r="D1723" i="20"/>
  <c r="E1723" i="20" s="1"/>
  <c r="F1723" i="20" s="1"/>
  <c r="D1457" i="20"/>
  <c r="E984" i="13"/>
  <c r="F984" i="13" s="1"/>
  <c r="K49" i="49" l="1"/>
  <c r="D50" i="49" s="1"/>
  <c r="H49" i="49"/>
  <c r="K50" i="50"/>
  <c r="H50" i="50"/>
  <c r="H51" i="50" s="1"/>
  <c r="C28" i="13"/>
  <c r="B146" i="2"/>
  <c r="C28" i="20"/>
  <c r="D1724" i="20"/>
  <c r="E1724" i="20" s="1"/>
  <c r="F1724" i="20" s="1"/>
  <c r="D985" i="13"/>
  <c r="G984" i="13"/>
  <c r="E1457" i="20"/>
  <c r="F1457" i="20" s="1"/>
  <c r="K50" i="49" l="1"/>
  <c r="H50" i="49"/>
  <c r="H51" i="49" s="1"/>
  <c r="B147" i="2"/>
  <c r="B148" i="2" s="1"/>
  <c r="B149" i="2" s="1"/>
  <c r="B150" i="2" s="1"/>
  <c r="E151" i="2" s="1"/>
  <c r="D1725" i="20"/>
  <c r="E1725" i="20" s="1"/>
  <c r="F1725" i="20" s="1"/>
  <c r="D1458" i="20"/>
  <c r="E985" i="13"/>
  <c r="F985" i="13" s="1"/>
  <c r="B151" i="2" l="1"/>
  <c r="B152" i="2" s="1"/>
  <c r="D986" i="13"/>
  <c r="G985" i="13"/>
  <c r="D1726" i="20"/>
  <c r="E1458" i="20"/>
  <c r="F1458" i="20" s="1"/>
  <c r="D1459" i="20" s="1"/>
  <c r="B153" i="2" l="1"/>
  <c r="D310" i="2"/>
  <c r="E44" i="2"/>
  <c r="E1459" i="20"/>
  <c r="F1459" i="20" s="1"/>
  <c r="E1726" i="20"/>
  <c r="F1726" i="20" s="1"/>
  <c r="E986" i="13"/>
  <c r="F986" i="13" s="1"/>
  <c r="B154" i="2" l="1"/>
  <c r="E155" i="2" s="1"/>
  <c r="D1727" i="20"/>
  <c r="D987" i="13"/>
  <c r="G986" i="13"/>
  <c r="D1460" i="20"/>
  <c r="D312" i="2" l="1"/>
  <c r="B155" i="2"/>
  <c r="E1727" i="20"/>
  <c r="F1727" i="20" s="1"/>
  <c r="E1460" i="20"/>
  <c r="F1460" i="20" s="1"/>
  <c r="D1461" i="20" s="1"/>
  <c r="E987" i="13"/>
  <c r="F987" i="13" s="1"/>
  <c r="D988" i="13" s="1"/>
  <c r="E118" i="2" l="1"/>
  <c r="B157" i="2"/>
  <c r="D309" i="2"/>
  <c r="G987" i="13"/>
  <c r="D1728" i="20"/>
  <c r="E1461" i="20"/>
  <c r="F1461" i="20" s="1"/>
  <c r="D1462" i="20" s="1"/>
  <c r="E988" i="13"/>
  <c r="F988" i="13" s="1"/>
  <c r="B158" i="2" l="1"/>
  <c r="D989" i="13"/>
  <c r="G988" i="13"/>
  <c r="E1462" i="20"/>
  <c r="F1462" i="20" s="1"/>
  <c r="E1728" i="20"/>
  <c r="F1728" i="20" s="1"/>
  <c r="D1729" i="20" s="1"/>
  <c r="E167" i="2" l="1"/>
  <c r="B159" i="2"/>
  <c r="B160" i="2" s="1"/>
  <c r="B161" i="2" s="1"/>
  <c r="B162" i="2" s="1"/>
  <c r="B163" i="2" s="1"/>
  <c r="B164" i="2" s="1"/>
  <c r="D1463" i="20"/>
  <c r="E1729" i="20"/>
  <c r="F1729" i="20" s="1"/>
  <c r="E989" i="13"/>
  <c r="F989" i="13" s="1"/>
  <c r="B165" i="2" l="1"/>
  <c r="E165" i="2"/>
  <c r="D990" i="13"/>
  <c r="G989" i="13"/>
  <c r="D1730" i="20"/>
  <c r="E1463" i="20"/>
  <c r="F1463" i="20" s="1"/>
  <c r="B167" i="2" l="1"/>
  <c r="B168" i="2" s="1"/>
  <c r="B169" i="2" s="1"/>
  <c r="B170" i="2" s="1"/>
  <c r="B171" i="2" s="1"/>
  <c r="B172" i="2" s="1"/>
  <c r="D1464" i="20"/>
  <c r="E1464" i="20" s="1"/>
  <c r="F1464" i="20" s="1"/>
  <c r="D1465" i="20" s="1"/>
  <c r="E1730" i="20"/>
  <c r="F1730" i="20" s="1"/>
  <c r="E990" i="13"/>
  <c r="F990" i="13" s="1"/>
  <c r="E172" i="2" l="1"/>
  <c r="D313" i="2"/>
  <c r="B174" i="2"/>
  <c r="E174" i="2"/>
  <c r="D991" i="13"/>
  <c r="G990" i="13"/>
  <c r="D1731" i="20"/>
  <c r="E1465" i="20"/>
  <c r="F1465" i="20" s="1"/>
  <c r="B175" i="2" l="1"/>
  <c r="E176" i="2" s="1"/>
  <c r="D1466" i="20"/>
  <c r="E991" i="13"/>
  <c r="F991" i="13" s="1"/>
  <c r="E1731" i="20"/>
  <c r="F1731" i="20" s="1"/>
  <c r="E30" i="2" l="1"/>
  <c r="D326" i="2"/>
  <c r="C48" i="20"/>
  <c r="D328" i="2"/>
  <c r="C48" i="13"/>
  <c r="B176" i="2"/>
  <c r="D323" i="2"/>
  <c r="D992" i="13"/>
  <c r="G991" i="13"/>
  <c r="D1732" i="20"/>
  <c r="E1466" i="20"/>
  <c r="F1466" i="20" s="1"/>
  <c r="B178" i="2" l="1"/>
  <c r="B179" i="2" s="1"/>
  <c r="D1467" i="20"/>
  <c r="E1732" i="20"/>
  <c r="F1732" i="20" s="1"/>
  <c r="D1733" i="20" s="1"/>
  <c r="E992" i="13"/>
  <c r="F992" i="13" s="1"/>
  <c r="B180" i="2" l="1"/>
  <c r="B181" i="2" s="1"/>
  <c r="D993" i="13"/>
  <c r="G992" i="13"/>
  <c r="E1467" i="20"/>
  <c r="F1467" i="20" s="1"/>
  <c r="D1468" i="20" s="1"/>
  <c r="E1733" i="20"/>
  <c r="F1733" i="20" s="1"/>
  <c r="C59" i="13" l="1"/>
  <c r="B182" i="2"/>
  <c r="B183" i="2" s="1"/>
  <c r="B185" i="2" s="1"/>
  <c r="C76" i="13"/>
  <c r="C76" i="20"/>
  <c r="C59" i="20"/>
  <c r="E34" i="2"/>
  <c r="D1734" i="20"/>
  <c r="E1734" i="20" s="1"/>
  <c r="F1734" i="20" s="1"/>
  <c r="E1468" i="20"/>
  <c r="F1468" i="20" s="1"/>
  <c r="D1469" i="20" s="1"/>
  <c r="E993" i="13"/>
  <c r="F993" i="13" s="1"/>
  <c r="E185" i="2" l="1"/>
  <c r="B187" i="2"/>
  <c r="B188" i="2" s="1"/>
  <c r="B189" i="2" s="1"/>
  <c r="D1735" i="20"/>
  <c r="E1735" i="20" s="1"/>
  <c r="F1735" i="20" s="1"/>
  <c r="D1736" i="20" s="1"/>
  <c r="D994" i="13"/>
  <c r="G993" i="13"/>
  <c r="E1469" i="20"/>
  <c r="F1469" i="20" s="1"/>
  <c r="D1470" i="20" s="1"/>
  <c r="B190" i="2" l="1"/>
  <c r="B191" i="2" s="1"/>
  <c r="B192" i="2" s="1"/>
  <c r="B193" i="2" s="1"/>
  <c r="B194" i="2" s="1"/>
  <c r="E994" i="13"/>
  <c r="F994" i="13" s="1"/>
  <c r="E1736" i="20"/>
  <c r="F1736" i="20" s="1"/>
  <c r="E1470" i="20"/>
  <c r="F1470" i="20" s="1"/>
  <c r="D1471" i="20" s="1"/>
  <c r="B196" i="2" l="1"/>
  <c r="B197" i="2" s="1"/>
  <c r="E194" i="2"/>
  <c r="D1737" i="20"/>
  <c r="D995" i="13"/>
  <c r="G994" i="13"/>
  <c r="E1471" i="20"/>
  <c r="F1471" i="20" s="1"/>
  <c r="B198" i="2" l="1"/>
  <c r="D201" i="2"/>
  <c r="D1472" i="20"/>
  <c r="E1472" i="20" s="1"/>
  <c r="F1472" i="20" s="1"/>
  <c r="E995" i="13"/>
  <c r="F995" i="13" s="1"/>
  <c r="D996" i="13" s="1"/>
  <c r="E1737" i="20"/>
  <c r="F1737" i="20" s="1"/>
  <c r="D1738" i="20" s="1"/>
  <c r="C35" i="20" l="1"/>
  <c r="C35" i="13"/>
  <c r="B199" i="2"/>
  <c r="B200" i="2" s="1"/>
  <c r="B201" i="2" s="1"/>
  <c r="G995" i="13"/>
  <c r="D1473" i="20"/>
  <c r="E996" i="13"/>
  <c r="F996" i="13" s="1"/>
  <c r="D997" i="13" s="1"/>
  <c r="E1738" i="20"/>
  <c r="F1738" i="20" s="1"/>
  <c r="B202" i="2" l="1"/>
  <c r="D1739" i="20"/>
  <c r="E997" i="13"/>
  <c r="F997" i="13" s="1"/>
  <c r="G996" i="13"/>
  <c r="E1473" i="20"/>
  <c r="F1473" i="20" s="1"/>
  <c r="D354" i="2" l="1"/>
  <c r="B203" i="2"/>
  <c r="E207" i="2"/>
  <c r="D998" i="13"/>
  <c r="G997" i="13"/>
  <c r="D1474" i="20"/>
  <c r="E1739" i="20"/>
  <c r="F1739" i="20" s="1"/>
  <c r="B204" i="2" l="1"/>
  <c r="E208" i="2"/>
  <c r="D1740" i="20"/>
  <c r="E998" i="13"/>
  <c r="F998" i="13" s="1"/>
  <c r="D999" i="13" s="1"/>
  <c r="E1474" i="20"/>
  <c r="F1474" i="20" s="1"/>
  <c r="D1475" i="20" s="1"/>
  <c r="B206" i="2" l="1"/>
  <c r="E209" i="2"/>
  <c r="E1475" i="20"/>
  <c r="F1475" i="20" s="1"/>
  <c r="D1476" i="20" s="1"/>
  <c r="E1740" i="20"/>
  <c r="F1740" i="20" s="1"/>
  <c r="D1741" i="20" s="1"/>
  <c r="E999" i="13"/>
  <c r="F999" i="13" s="1"/>
  <c r="D1000" i="13" s="1"/>
  <c r="G998" i="13"/>
  <c r="B207" i="2" l="1"/>
  <c r="B208" i="2" s="1"/>
  <c r="B209" i="2" s="1"/>
  <c r="B211" i="2" s="1"/>
  <c r="E1741" i="20"/>
  <c r="F1741" i="20" s="1"/>
  <c r="E1476" i="20"/>
  <c r="F1476" i="20" s="1"/>
  <c r="E1000" i="13"/>
  <c r="F1000" i="13" s="1"/>
  <c r="G999" i="13"/>
  <c r="E211" i="2" l="1"/>
  <c r="B213" i="2"/>
  <c r="E37" i="2" s="1"/>
  <c r="C50" i="20"/>
  <c r="C50" i="13"/>
  <c r="D1001" i="13"/>
  <c r="G1000" i="13"/>
  <c r="D1742" i="20"/>
  <c r="D1477" i="20"/>
  <c r="B215" i="2" l="1"/>
  <c r="C49" i="13"/>
  <c r="C49" i="20"/>
  <c r="E206" i="2"/>
  <c r="E1477" i="20"/>
  <c r="F1477" i="20" s="1"/>
  <c r="E1742" i="20"/>
  <c r="F1742" i="20" s="1"/>
  <c r="D1743" i="20" s="1"/>
  <c r="E1001" i="13"/>
  <c r="F1001" i="13" s="1"/>
  <c r="B217" i="2" l="1"/>
  <c r="D317" i="2"/>
  <c r="D1478" i="20"/>
  <c r="E1478" i="20" s="1"/>
  <c r="F1478" i="20" s="1"/>
  <c r="D1479" i="20" s="1"/>
  <c r="D1002" i="13"/>
  <c r="E1002" i="13" s="1"/>
  <c r="F1002" i="13" s="1"/>
  <c r="G1001" i="13"/>
  <c r="E1743" i="20"/>
  <c r="F1743" i="20" s="1"/>
  <c r="B219" i="2" l="1"/>
  <c r="D219" i="2"/>
  <c r="D1003" i="13"/>
  <c r="G1002" i="13"/>
  <c r="D1744" i="20"/>
  <c r="E1479" i="20"/>
  <c r="F1479" i="20" s="1"/>
  <c r="B221" i="2" l="1"/>
  <c r="D222" i="2"/>
  <c r="D1480" i="20"/>
  <c r="E1744" i="20"/>
  <c r="F1744" i="20" s="1"/>
  <c r="E1003" i="13"/>
  <c r="F1003" i="13" s="1"/>
  <c r="D1004" i="13" s="1"/>
  <c r="B234" i="2" l="1"/>
  <c r="E13" i="2"/>
  <c r="D1745" i="20"/>
  <c r="E1004" i="13"/>
  <c r="F1004" i="13" s="1"/>
  <c r="G1003" i="13"/>
  <c r="E1480" i="20"/>
  <c r="F1480" i="20" s="1"/>
  <c r="D1481" i="20" s="1"/>
  <c r="B235" i="2" l="1"/>
  <c r="B236" i="2" s="1"/>
  <c r="B237" i="2" s="1"/>
  <c r="D1005" i="13"/>
  <c r="G1004" i="13"/>
  <c r="E1745" i="20"/>
  <c r="F1745" i="20" s="1"/>
  <c r="E1481" i="20"/>
  <c r="F1481" i="20" s="1"/>
  <c r="B239" i="2" l="1"/>
  <c r="B248" i="2" s="1"/>
  <c r="B249" i="2" s="1"/>
  <c r="E239" i="2"/>
  <c r="E68" i="2"/>
  <c r="E237" i="2"/>
  <c r="D1482" i="20"/>
  <c r="D1746" i="20"/>
  <c r="E1005" i="13"/>
  <c r="F1005" i="13" s="1"/>
  <c r="B250" i="2" l="1"/>
  <c r="B251" i="2" s="1"/>
  <c r="B253" i="2" s="1"/>
  <c r="B254" i="2" s="1"/>
  <c r="B255" i="2" s="1"/>
  <c r="B257" i="2" s="1"/>
  <c r="B260" i="2" s="1"/>
  <c r="B261" i="2" s="1"/>
  <c r="D1006" i="13"/>
  <c r="G1005" i="13"/>
  <c r="E1746" i="20"/>
  <c r="F1746" i="20" s="1"/>
  <c r="D1747" i="20" s="1"/>
  <c r="E1482" i="20"/>
  <c r="F1482" i="20" s="1"/>
  <c r="B262" i="2" l="1"/>
  <c r="B263" i="2" s="1"/>
  <c r="B264" i="2" s="1"/>
  <c r="E255" i="2"/>
  <c r="D1483" i="20"/>
  <c r="E1747" i="20"/>
  <c r="F1747" i="20" s="1"/>
  <c r="E1006" i="13"/>
  <c r="F1006" i="13" s="1"/>
  <c r="D1007" i="13" s="1"/>
  <c r="B265" i="2" l="1"/>
  <c r="D1748" i="20"/>
  <c r="E1748" i="20" s="1"/>
  <c r="F1748" i="20" s="1"/>
  <c r="E1007" i="13"/>
  <c r="F1007" i="13" s="1"/>
  <c r="E1483" i="20"/>
  <c r="F1483" i="20" s="1"/>
  <c r="G1006" i="13"/>
  <c r="D272" i="2" l="1"/>
  <c r="B266" i="2"/>
  <c r="B267" i="2" s="1"/>
  <c r="B268" i="2" s="1"/>
  <c r="D1008" i="13"/>
  <c r="E1008" i="13" s="1"/>
  <c r="F1008" i="13" s="1"/>
  <c r="G1007" i="13"/>
  <c r="D1484" i="20"/>
  <c r="D1749" i="20"/>
  <c r="E268" i="2" l="1"/>
  <c r="D273" i="2"/>
  <c r="B270" i="2"/>
  <c r="B271" i="2" s="1"/>
  <c r="D1009" i="13"/>
  <c r="G1008" i="13"/>
  <c r="E1749" i="20"/>
  <c r="F1749" i="20" s="1"/>
  <c r="E1484" i="20"/>
  <c r="F1484" i="20" s="1"/>
  <c r="D375" i="2" l="1"/>
  <c r="B272" i="2"/>
  <c r="B273" i="2" s="1"/>
  <c r="C19" i="13" s="1"/>
  <c r="D1485" i="20"/>
  <c r="D1750" i="20"/>
  <c r="E1009" i="13"/>
  <c r="F1009" i="13" s="1"/>
  <c r="D1010" i="13" s="1"/>
  <c r="D274" i="2" l="1"/>
  <c r="C16" i="20"/>
  <c r="C16" i="13"/>
  <c r="B274" i="2"/>
  <c r="C19" i="20"/>
  <c r="E1750" i="20"/>
  <c r="F1750" i="20" s="1"/>
  <c r="G1009" i="13"/>
  <c r="E1485" i="20"/>
  <c r="F1485" i="20" s="1"/>
  <c r="E1010" i="13"/>
  <c r="F1010" i="13" s="1"/>
  <c r="B276" i="2" l="1"/>
  <c r="B77" i="41"/>
  <c r="E213" i="2"/>
  <c r="D199" i="2"/>
  <c r="D1011" i="13"/>
  <c r="E1011" i="13" s="1"/>
  <c r="F1011" i="13" s="1"/>
  <c r="D1012" i="13" s="1"/>
  <c r="G1010" i="13"/>
  <c r="D1751" i="20"/>
  <c r="E1751" i="20" s="1"/>
  <c r="F1751" i="20" s="1"/>
  <c r="D1486" i="20"/>
  <c r="D1752" i="20" l="1"/>
  <c r="E1012" i="13"/>
  <c r="F1012" i="13" s="1"/>
  <c r="D1013" i="13" s="1"/>
  <c r="E1486" i="20"/>
  <c r="F1486" i="20" s="1"/>
  <c r="D1487" i="20" s="1"/>
  <c r="G1011" i="13"/>
  <c r="E1487" i="20" l="1"/>
  <c r="F1487" i="20" s="1"/>
  <c r="E1752" i="20"/>
  <c r="F1752" i="20" s="1"/>
  <c r="E1013" i="13"/>
  <c r="F1013" i="13" s="1"/>
  <c r="D1014" i="13" s="1"/>
  <c r="G1012" i="13"/>
  <c r="D1488" i="20" l="1"/>
  <c r="E1488" i="20" s="1"/>
  <c r="F1488" i="20" s="1"/>
  <c r="D1489" i="20" s="1"/>
  <c r="D1753" i="20"/>
  <c r="E1014" i="13"/>
  <c r="F1014" i="13" s="1"/>
  <c r="G1013" i="13"/>
  <c r="D1015" i="13" l="1"/>
  <c r="G1014" i="13"/>
  <c r="E1489" i="20"/>
  <c r="F1489" i="20" s="1"/>
  <c r="E1753" i="20"/>
  <c r="F1753" i="20" s="1"/>
  <c r="D1754" i="20" s="1"/>
  <c r="D1490" i="20" l="1"/>
  <c r="E1754" i="20"/>
  <c r="F1754" i="20" s="1"/>
  <c r="E1015" i="13"/>
  <c r="F1015" i="13" s="1"/>
  <c r="D1016" i="13" s="1"/>
  <c r="D1755" i="20" l="1"/>
  <c r="E1755" i="20" s="1"/>
  <c r="F1755" i="20" s="1"/>
  <c r="E1016" i="13"/>
  <c r="F1016" i="13" s="1"/>
  <c r="G1015" i="13"/>
  <c r="E1490" i="20"/>
  <c r="F1490" i="20" s="1"/>
  <c r="D1491" i="20" l="1"/>
  <c r="D1017" i="13"/>
  <c r="G1016" i="13"/>
  <c r="D1756" i="20"/>
  <c r="E1491" i="20" l="1"/>
  <c r="F1491" i="20" s="1"/>
  <c r="E1756" i="20"/>
  <c r="F1756" i="20" s="1"/>
  <c r="D1757" i="20" s="1"/>
  <c r="E1017" i="13"/>
  <c r="F1017" i="13" s="1"/>
  <c r="D1018" i="13" l="1"/>
  <c r="G1017" i="13"/>
  <c r="D1492" i="20"/>
  <c r="E1757" i="20"/>
  <c r="F1757" i="20" s="1"/>
  <c r="D1758" i="20" l="1"/>
  <c r="E1492" i="20"/>
  <c r="F1492" i="20" s="1"/>
  <c r="D1493" i="20" s="1"/>
  <c r="E1018" i="13"/>
  <c r="F1018" i="13" s="1"/>
  <c r="D1019" i="13" l="1"/>
  <c r="G1018" i="13"/>
  <c r="E1493" i="20"/>
  <c r="F1493" i="20" s="1"/>
  <c r="E1758" i="20"/>
  <c r="F1758" i="20" s="1"/>
  <c r="D1494" i="20" l="1"/>
  <c r="E1494" i="20" s="1"/>
  <c r="F1494" i="20" s="1"/>
  <c r="D1759" i="20"/>
  <c r="E1019" i="13"/>
  <c r="F1019" i="13" s="1"/>
  <c r="D1020" i="13" l="1"/>
  <c r="E1020" i="13" s="1"/>
  <c r="F1020" i="13" s="1"/>
  <c r="D1021" i="13" s="1"/>
  <c r="G1019" i="13"/>
  <c r="D1495" i="20"/>
  <c r="E1759" i="20"/>
  <c r="F1759" i="20" s="1"/>
  <c r="D1760" i="20" s="1"/>
  <c r="E1495" i="20" l="1"/>
  <c r="F1495" i="20" s="1"/>
  <c r="E1760" i="20"/>
  <c r="F1760" i="20" s="1"/>
  <c r="D1761" i="20" s="1"/>
  <c r="E1021" i="13"/>
  <c r="F1021" i="13" s="1"/>
  <c r="G1020" i="13"/>
  <c r="D1022" i="13" l="1"/>
  <c r="G1021" i="13"/>
  <c r="D1496" i="20"/>
  <c r="E1761" i="20"/>
  <c r="F1761" i="20" s="1"/>
  <c r="D1762" i="20" l="1"/>
  <c r="E1022" i="13"/>
  <c r="F1022" i="13" s="1"/>
  <c r="D1023" i="13" s="1"/>
  <c r="E1496" i="20"/>
  <c r="F1496" i="20" s="1"/>
  <c r="D1497" i="20" l="1"/>
  <c r="E1023" i="13"/>
  <c r="F1023" i="13" s="1"/>
  <c r="D1024" i="13" s="1"/>
  <c r="E1762" i="20"/>
  <c r="F1762" i="20" s="1"/>
  <c r="G1022" i="13"/>
  <c r="D1763" i="20" l="1"/>
  <c r="E1024" i="13"/>
  <c r="F1024" i="13" s="1"/>
  <c r="D1025" i="13" s="1"/>
  <c r="G1023" i="13"/>
  <c r="E1497" i="20"/>
  <c r="F1497" i="20" s="1"/>
  <c r="E1763" i="20" l="1"/>
  <c r="F1763" i="20" s="1"/>
  <c r="D1764" i="20" s="1"/>
  <c r="E1025" i="13"/>
  <c r="F1025" i="13" s="1"/>
  <c r="D1026" i="13" s="1"/>
  <c r="G1024" i="13"/>
  <c r="E1026" i="13" l="1"/>
  <c r="E1027" i="13" s="1"/>
  <c r="G1025" i="13"/>
  <c r="E1764" i="20"/>
  <c r="F1764" i="20" s="1"/>
  <c r="F1026" i="13" l="1"/>
  <c r="G1026" i="13" s="1"/>
  <c r="M2004" i="13" l="1"/>
  <c r="P2004" i="13" s="1"/>
  <c r="E62" i="35" l="1"/>
  <c r="L235" i="2" s="1"/>
  <c r="L237" i="2" l="1"/>
  <c r="L68" i="2" l="1"/>
  <c r="L239" i="2"/>
  <c r="J250" i="2"/>
  <c r="L250" i="2" s="1"/>
  <c r="H75" i="13"/>
  <c r="H77" i="13" s="1"/>
  <c r="H78" i="13" s="1"/>
  <c r="H79" i="13" s="1"/>
  <c r="G75" i="20"/>
  <c r="G77" i="20" s="1"/>
  <c r="G78" i="20" s="1"/>
  <c r="G79" i="20" s="1"/>
  <c r="J78" i="2"/>
  <c r="J155" i="2" l="1"/>
  <c r="L155" i="2" s="1"/>
  <c r="L118" i="2" s="1"/>
  <c r="J119" i="2"/>
  <c r="L119" i="2" s="1"/>
  <c r="J169" i="2"/>
  <c r="L169" i="2" s="1"/>
  <c r="J168" i="2"/>
  <c r="J69" i="2"/>
  <c r="L69" i="2" s="1"/>
  <c r="L255" i="2"/>
  <c r="D1523" i="20"/>
  <c r="I1524" i="20" s="1"/>
  <c r="E1527" i="20" s="1"/>
  <c r="F1527" i="20" s="1"/>
  <c r="D1528" i="20" s="1"/>
  <c r="E1528" i="20" s="1"/>
  <c r="F1528" i="20" s="1"/>
  <c r="D1529" i="20" s="1"/>
  <c r="E1529" i="20" s="1"/>
  <c r="F1529" i="20" s="1"/>
  <c r="D1530" i="20" s="1"/>
  <c r="E1530" i="20" s="1"/>
  <c r="F1530" i="20" s="1"/>
  <c r="D1531" i="20" s="1"/>
  <c r="E1531" i="20" s="1"/>
  <c r="F1531" i="20" s="1"/>
  <c r="D1532" i="20" s="1"/>
  <c r="E1532" i="20" s="1"/>
  <c r="F1532" i="20" s="1"/>
  <c r="D1533" i="20" s="1"/>
  <c r="E1533" i="20" s="1"/>
  <c r="F1533" i="20" s="1"/>
  <c r="D1534" i="20" s="1"/>
  <c r="E1534" i="20" s="1"/>
  <c r="F1534" i="20" s="1"/>
  <c r="D1535" i="20" s="1"/>
  <c r="E1535" i="20" s="1"/>
  <c r="F1535" i="20" s="1"/>
  <c r="D1536" i="20" s="1"/>
  <c r="E1536" i="20" s="1"/>
  <c r="F1536" i="20" s="1"/>
  <c r="D1537" i="20" s="1"/>
  <c r="E1537" i="20" s="1"/>
  <c r="F1537" i="20" s="1"/>
  <c r="D1538" i="20" s="1"/>
  <c r="E1538" i="20" s="1"/>
  <c r="F1538" i="20" s="1"/>
  <c r="D1539" i="20" s="1"/>
  <c r="E1539" i="20" s="1"/>
  <c r="F1539" i="20" s="1"/>
  <c r="D1540" i="20" s="1"/>
  <c r="E1540" i="20" s="1"/>
  <c r="F1540" i="20" s="1"/>
  <c r="D1541" i="20" s="1"/>
  <c r="E1541" i="20" s="1"/>
  <c r="F1541" i="20" s="1"/>
  <c r="D1542" i="20" s="1"/>
  <c r="E1542" i="20" s="1"/>
  <c r="F1542" i="20" s="1"/>
  <c r="D1543" i="20" s="1"/>
  <c r="E1543" i="20" s="1"/>
  <c r="F1543" i="20" s="1"/>
  <c r="D1544" i="20" s="1"/>
  <c r="E1544" i="20" s="1"/>
  <c r="F1544" i="20" s="1"/>
  <c r="D1545" i="20" s="1"/>
  <c r="E1545" i="20" s="1"/>
  <c r="F1545" i="20" s="1"/>
  <c r="D1546" i="20" s="1"/>
  <c r="E1546" i="20" s="1"/>
  <c r="F1546" i="20" s="1"/>
  <c r="D1547" i="20" s="1"/>
  <c r="E1547" i="20" s="1"/>
  <c r="F1547" i="20" s="1"/>
  <c r="D1548" i="20" s="1"/>
  <c r="E1548" i="20" s="1"/>
  <c r="F1548" i="20" s="1"/>
  <c r="D1549" i="20" s="1"/>
  <c r="E1549" i="20" s="1"/>
  <c r="F1549" i="20" s="1"/>
  <c r="D1550" i="20" s="1"/>
  <c r="E1550" i="20" s="1"/>
  <c r="F1550" i="20" s="1"/>
  <c r="D1551" i="20" s="1"/>
  <c r="E1551" i="20" s="1"/>
  <c r="F1551" i="20" s="1"/>
  <c r="D1552" i="20" s="1"/>
  <c r="E1552" i="20" s="1"/>
  <c r="F1552" i="20" s="1"/>
  <c r="D1553" i="20" s="1"/>
  <c r="E1553" i="20" s="1"/>
  <c r="F1553" i="20" s="1"/>
  <c r="D1554" i="20" s="1"/>
  <c r="E1554" i="20" s="1"/>
  <c r="F1554" i="20" s="1"/>
  <c r="D1555" i="20" s="1"/>
  <c r="E1555" i="20" s="1"/>
  <c r="F1555" i="20" s="1"/>
  <c r="D1556" i="20" s="1"/>
  <c r="E1556" i="20" s="1"/>
  <c r="F1556" i="20" s="1"/>
  <c r="D1557" i="20" s="1"/>
  <c r="E1557" i="20" s="1"/>
  <c r="F1557" i="20" s="1"/>
  <c r="D1558" i="20" s="1"/>
  <c r="E1558" i="20" s="1"/>
  <c r="F1558" i="20" s="1"/>
  <c r="D1559" i="20" s="1"/>
  <c r="E1559" i="20" s="1"/>
  <c r="F1559" i="20" s="1"/>
  <c r="D1560" i="20" s="1"/>
  <c r="E1560" i="20" s="1"/>
  <c r="F1560" i="20" s="1"/>
  <c r="D1561" i="20" s="1"/>
  <c r="E1561" i="20" s="1"/>
  <c r="F1561" i="20" s="1"/>
  <c r="D1562" i="20" s="1"/>
  <c r="E1562" i="20" s="1"/>
  <c r="F1562" i="20" s="1"/>
  <c r="D1563" i="20" s="1"/>
  <c r="E1563" i="20" s="1"/>
  <c r="F1563" i="20" s="1"/>
  <c r="D1564" i="20" s="1"/>
  <c r="E1564" i="20" s="1"/>
  <c r="F1564" i="20" s="1"/>
  <c r="D1565" i="20" s="1"/>
  <c r="E1565" i="20" s="1"/>
  <c r="F1565" i="20" s="1"/>
  <c r="D1566" i="20" s="1"/>
  <c r="E1566" i="20" s="1"/>
  <c r="F1566" i="20" s="1"/>
  <c r="D1567" i="20" s="1"/>
  <c r="E1567" i="20" s="1"/>
  <c r="F1567" i="20" s="1"/>
  <c r="D1568" i="20" s="1"/>
  <c r="E1568" i="20" s="1"/>
  <c r="F1568" i="20" s="1"/>
  <c r="D1569" i="20" s="1"/>
  <c r="E1569" i="20" s="1"/>
  <c r="F1569" i="20" s="1"/>
  <c r="D1570" i="20" s="1"/>
  <c r="E1570" i="20" s="1"/>
  <c r="F1570" i="20" s="1"/>
  <c r="D1571" i="20" s="1"/>
  <c r="E1571" i="20" s="1"/>
  <c r="F1571" i="20" s="1"/>
  <c r="D1572" i="20" s="1"/>
  <c r="E1572" i="20" s="1"/>
  <c r="F1572" i="20" s="1"/>
  <c r="D1573" i="20" s="1"/>
  <c r="E1573" i="20" s="1"/>
  <c r="F1573" i="20" s="1"/>
  <c r="D1574" i="20" s="1"/>
  <c r="E1574" i="20" s="1"/>
  <c r="F1574" i="20" s="1"/>
  <c r="D1575" i="20" s="1"/>
  <c r="E1575" i="20" s="1"/>
  <c r="F1575" i="20" s="1"/>
  <c r="D1576" i="20" s="1"/>
  <c r="E1576" i="20" s="1"/>
  <c r="F1576" i="20" s="1"/>
  <c r="D1577" i="20" s="1"/>
  <c r="E1577" i="20" s="1"/>
  <c r="F1577" i="20" s="1"/>
  <c r="D1578" i="20" s="1"/>
  <c r="E1578" i="20" s="1"/>
  <c r="F1578" i="20" s="1"/>
  <c r="D1579" i="20" s="1"/>
  <c r="E1579" i="20" s="1"/>
  <c r="F1579" i="20" s="1"/>
  <c r="D1580" i="20" s="1"/>
  <c r="E1580" i="20" s="1"/>
  <c r="F1580" i="20" s="1"/>
  <c r="D1581" i="20" s="1"/>
  <c r="E1581" i="20" s="1"/>
  <c r="F1581" i="20" s="1"/>
  <c r="D1582" i="20" s="1"/>
  <c r="E1582" i="20" s="1"/>
  <c r="F1582" i="20" s="1"/>
  <c r="D1583" i="20" s="1"/>
  <c r="E1583" i="20" s="1"/>
  <c r="F1583" i="20" s="1"/>
  <c r="D1584" i="20" s="1"/>
  <c r="E1584" i="20" s="1"/>
  <c r="F1584" i="20" s="1"/>
  <c r="D1585" i="20" s="1"/>
  <c r="E1585" i="20" s="1"/>
  <c r="F1585" i="20" s="1"/>
  <c r="D1586" i="20" s="1"/>
  <c r="E1586" i="20" s="1"/>
  <c r="F1586" i="20" s="1"/>
  <c r="D366" i="20"/>
  <c r="I367" i="20" s="1"/>
  <c r="E370" i="20" s="1"/>
  <c r="F370" i="20" s="1"/>
  <c r="D371" i="20" s="1"/>
  <c r="E371" i="20" s="1"/>
  <c r="F371" i="20" s="1"/>
  <c r="D372" i="20" s="1"/>
  <c r="E372" i="20" s="1"/>
  <c r="F372" i="20" s="1"/>
  <c r="D373" i="20" s="1"/>
  <c r="E373" i="20" s="1"/>
  <c r="F373" i="20" s="1"/>
  <c r="D374" i="20" s="1"/>
  <c r="E374" i="20" s="1"/>
  <c r="F374" i="20" s="1"/>
  <c r="D375" i="20" s="1"/>
  <c r="E375" i="20" s="1"/>
  <c r="F375" i="20" s="1"/>
  <c r="D376" i="20" s="1"/>
  <c r="E376" i="20" s="1"/>
  <c r="F376" i="20" s="1"/>
  <c r="D377" i="20" s="1"/>
  <c r="E377" i="20" s="1"/>
  <c r="F377" i="20" s="1"/>
  <c r="D378" i="20" s="1"/>
  <c r="E378" i="20" s="1"/>
  <c r="F378" i="20" s="1"/>
  <c r="D379" i="20" s="1"/>
  <c r="E379" i="20" s="1"/>
  <c r="F379" i="20" s="1"/>
  <c r="D380" i="20" s="1"/>
  <c r="E380" i="20" s="1"/>
  <c r="F380" i="20" s="1"/>
  <c r="D381" i="20" s="1"/>
  <c r="E381" i="20" s="1"/>
  <c r="F381" i="20" s="1"/>
  <c r="D382" i="20" s="1"/>
  <c r="E382" i="20" s="1"/>
  <c r="F382" i="20" s="1"/>
  <c r="D383" i="20" s="1"/>
  <c r="E383" i="20" s="1"/>
  <c r="F383" i="20" s="1"/>
  <c r="D384" i="20" s="1"/>
  <c r="E384" i="20" s="1"/>
  <c r="F384" i="20" s="1"/>
  <c r="D385" i="20" s="1"/>
  <c r="E385" i="20" s="1"/>
  <c r="F385" i="20" s="1"/>
  <c r="D386" i="20" s="1"/>
  <c r="E386" i="20" s="1"/>
  <c r="F386" i="20" s="1"/>
  <c r="D387" i="20" s="1"/>
  <c r="E387" i="20" s="1"/>
  <c r="F387" i="20" s="1"/>
  <c r="D388" i="20" s="1"/>
  <c r="E388" i="20" s="1"/>
  <c r="F388" i="20" s="1"/>
  <c r="D389" i="20" s="1"/>
  <c r="E389" i="20" s="1"/>
  <c r="F389" i="20" s="1"/>
  <c r="D390" i="20" s="1"/>
  <c r="E390" i="20" s="1"/>
  <c r="F390" i="20" s="1"/>
  <c r="D391" i="20" s="1"/>
  <c r="E391" i="20" s="1"/>
  <c r="F391" i="20" s="1"/>
  <c r="D392" i="20" s="1"/>
  <c r="E392" i="20" s="1"/>
  <c r="F392" i="20" s="1"/>
  <c r="D393" i="20" s="1"/>
  <c r="E393" i="20" s="1"/>
  <c r="F393" i="20" s="1"/>
  <c r="D394" i="20" s="1"/>
  <c r="E394" i="20" s="1"/>
  <c r="F394" i="20" s="1"/>
  <c r="D395" i="20" s="1"/>
  <c r="E395" i="20" s="1"/>
  <c r="F395" i="20" s="1"/>
  <c r="D396" i="20" s="1"/>
  <c r="E396" i="20" s="1"/>
  <c r="F396" i="20" s="1"/>
  <c r="D397" i="20" s="1"/>
  <c r="E397" i="20" s="1"/>
  <c r="F397" i="20" s="1"/>
  <c r="D398" i="20" s="1"/>
  <c r="E398" i="20" s="1"/>
  <c r="F398" i="20" s="1"/>
  <c r="D399" i="20" s="1"/>
  <c r="E399" i="20" s="1"/>
  <c r="F399" i="20" s="1"/>
  <c r="D400" i="20" s="1"/>
  <c r="E400" i="20" s="1"/>
  <c r="F400" i="20" s="1"/>
  <c r="D401" i="20" s="1"/>
  <c r="E401" i="20" s="1"/>
  <c r="F401" i="20" s="1"/>
  <c r="D402" i="20" s="1"/>
  <c r="E402" i="20" s="1"/>
  <c r="F402" i="20" s="1"/>
  <c r="D403" i="20" s="1"/>
  <c r="E403" i="20" s="1"/>
  <c r="F403" i="20" s="1"/>
  <c r="D404" i="20" s="1"/>
  <c r="E404" i="20" s="1"/>
  <c r="F404" i="20" s="1"/>
  <c r="D405" i="20" s="1"/>
  <c r="E405" i="20" s="1"/>
  <c r="F405" i="20" s="1"/>
  <c r="D406" i="20" s="1"/>
  <c r="E406" i="20" s="1"/>
  <c r="F406" i="20" s="1"/>
  <c r="D407" i="20" s="1"/>
  <c r="E407" i="20" s="1"/>
  <c r="F407" i="20" s="1"/>
  <c r="D408" i="20" s="1"/>
  <c r="E408" i="20" s="1"/>
  <c r="F408" i="20" s="1"/>
  <c r="D409" i="20" s="1"/>
  <c r="E409" i="20" s="1"/>
  <c r="F409" i="20" s="1"/>
  <c r="D410" i="20" s="1"/>
  <c r="E410" i="20" s="1"/>
  <c r="F410" i="20" s="1"/>
  <c r="D411" i="20" s="1"/>
  <c r="E411" i="20" s="1"/>
  <c r="F411" i="20" s="1"/>
  <c r="D412" i="20" s="1"/>
  <c r="E412" i="20" s="1"/>
  <c r="F412" i="20" s="1"/>
  <c r="D413" i="20" s="1"/>
  <c r="E413" i="20" s="1"/>
  <c r="F413" i="20" s="1"/>
  <c r="D414" i="20" s="1"/>
  <c r="E414" i="20" s="1"/>
  <c r="F414" i="20" s="1"/>
  <c r="D415" i="20" s="1"/>
  <c r="E415" i="20" s="1"/>
  <c r="F415" i="20" s="1"/>
  <c r="D416" i="20" s="1"/>
  <c r="E416" i="20" s="1"/>
  <c r="F416" i="20" s="1"/>
  <c r="D417" i="20" s="1"/>
  <c r="E417" i="20" s="1"/>
  <c r="F417" i="20" s="1"/>
  <c r="D418" i="20" s="1"/>
  <c r="E418" i="20" s="1"/>
  <c r="F418" i="20" s="1"/>
  <c r="D419" i="20" s="1"/>
  <c r="E419" i="20" s="1"/>
  <c r="F419" i="20" s="1"/>
  <c r="D420" i="20" s="1"/>
  <c r="E420" i="20" s="1"/>
  <c r="F420" i="20" s="1"/>
  <c r="D421" i="20" s="1"/>
  <c r="E421" i="20" s="1"/>
  <c r="F421" i="20" s="1"/>
  <c r="D422" i="20" s="1"/>
  <c r="E422" i="20" s="1"/>
  <c r="F422" i="20" s="1"/>
  <c r="D423" i="20" s="1"/>
  <c r="E423" i="20" s="1"/>
  <c r="F423" i="20" s="1"/>
  <c r="D424" i="20" s="1"/>
  <c r="E424" i="20" s="1"/>
  <c r="F424" i="20" s="1"/>
  <c r="D425" i="20" s="1"/>
  <c r="E425" i="20" s="1"/>
  <c r="F425" i="20" s="1"/>
  <c r="D426" i="20" s="1"/>
  <c r="E426" i="20" s="1"/>
  <c r="F426" i="20" s="1"/>
  <c r="D427" i="20" s="1"/>
  <c r="E427" i="20" s="1"/>
  <c r="F427" i="20" s="1"/>
  <c r="D428" i="20" s="1"/>
  <c r="E428" i="20" s="1"/>
  <c r="F428" i="20" s="1"/>
  <c r="D429" i="20" s="1"/>
  <c r="E429" i="20" s="1"/>
  <c r="F429" i="20" s="1"/>
  <c r="D1167" i="20"/>
  <c r="I1168" i="20" s="1"/>
  <c r="E1171" i="20" s="1"/>
  <c r="F1171" i="20" s="1"/>
  <c r="D1172" i="20" s="1"/>
  <c r="E1172" i="20" s="1"/>
  <c r="F1172" i="20" s="1"/>
  <c r="D1173" i="20" s="1"/>
  <c r="E1173" i="20" s="1"/>
  <c r="F1173" i="20" s="1"/>
  <c r="D1174" i="20" s="1"/>
  <c r="E1174" i="20" s="1"/>
  <c r="F1174" i="20" s="1"/>
  <c r="D1175" i="20" s="1"/>
  <c r="E1175" i="20" s="1"/>
  <c r="F1175" i="20" s="1"/>
  <c r="D1176" i="20" s="1"/>
  <c r="E1176" i="20" s="1"/>
  <c r="F1176" i="20" s="1"/>
  <c r="D1177" i="20" s="1"/>
  <c r="E1177" i="20" s="1"/>
  <c r="F1177" i="20" s="1"/>
  <c r="D1178" i="20" s="1"/>
  <c r="E1178" i="20" s="1"/>
  <c r="F1178" i="20" s="1"/>
  <c r="D1179" i="20" s="1"/>
  <c r="E1179" i="20" s="1"/>
  <c r="F1179" i="20" s="1"/>
  <c r="D1180" i="20" s="1"/>
  <c r="E1180" i="20" s="1"/>
  <c r="F1180" i="20" s="1"/>
  <c r="D1181" i="20" s="1"/>
  <c r="E1181" i="20" s="1"/>
  <c r="F1181" i="20" s="1"/>
  <c r="D1182" i="20" s="1"/>
  <c r="E1182" i="20" s="1"/>
  <c r="F1182" i="20" s="1"/>
  <c r="D1183" i="20" s="1"/>
  <c r="E1183" i="20" s="1"/>
  <c r="F1183" i="20" s="1"/>
  <c r="D1184" i="20" s="1"/>
  <c r="E1184" i="20" s="1"/>
  <c r="F1184" i="20" s="1"/>
  <c r="D1185" i="20" s="1"/>
  <c r="E1185" i="20" s="1"/>
  <c r="F1185" i="20" s="1"/>
  <c r="D1186" i="20" s="1"/>
  <c r="E1186" i="20" s="1"/>
  <c r="F1186" i="20" s="1"/>
  <c r="D1187" i="20" s="1"/>
  <c r="E1187" i="20" s="1"/>
  <c r="F1187" i="20" s="1"/>
  <c r="D1188" i="20" s="1"/>
  <c r="E1188" i="20" s="1"/>
  <c r="F1188" i="20" s="1"/>
  <c r="D1189" i="20" s="1"/>
  <c r="E1189" i="20" s="1"/>
  <c r="F1189" i="20" s="1"/>
  <c r="D1190" i="20" s="1"/>
  <c r="E1190" i="20" s="1"/>
  <c r="F1190" i="20" s="1"/>
  <c r="D1191" i="20" s="1"/>
  <c r="E1191" i="20" s="1"/>
  <c r="F1191" i="20" s="1"/>
  <c r="D1192" i="20" s="1"/>
  <c r="E1192" i="20" s="1"/>
  <c r="F1192" i="20" s="1"/>
  <c r="D1193" i="20" s="1"/>
  <c r="E1193" i="20" s="1"/>
  <c r="F1193" i="20" s="1"/>
  <c r="D1194" i="20" s="1"/>
  <c r="E1194" i="20" s="1"/>
  <c r="F1194" i="20" s="1"/>
  <c r="D1195" i="20" s="1"/>
  <c r="E1195" i="20" s="1"/>
  <c r="F1195" i="20" s="1"/>
  <c r="D1196" i="20" s="1"/>
  <c r="E1196" i="20" s="1"/>
  <c r="F1196" i="20" s="1"/>
  <c r="D1197" i="20" s="1"/>
  <c r="E1197" i="20" s="1"/>
  <c r="F1197" i="20" s="1"/>
  <c r="D1198" i="20" s="1"/>
  <c r="E1198" i="20" s="1"/>
  <c r="F1198" i="20" s="1"/>
  <c r="D1199" i="20" s="1"/>
  <c r="E1199" i="20" s="1"/>
  <c r="F1199" i="20" s="1"/>
  <c r="D1200" i="20" s="1"/>
  <c r="E1200" i="20" s="1"/>
  <c r="F1200" i="20" s="1"/>
  <c r="D1201" i="20" s="1"/>
  <c r="E1201" i="20" s="1"/>
  <c r="F1201" i="20" s="1"/>
  <c r="D1202" i="20" s="1"/>
  <c r="E1202" i="20" s="1"/>
  <c r="F1202" i="20" s="1"/>
  <c r="D1203" i="20" s="1"/>
  <c r="E1203" i="20" s="1"/>
  <c r="F1203" i="20" s="1"/>
  <c r="D1204" i="20" s="1"/>
  <c r="E1204" i="20" s="1"/>
  <c r="F1204" i="20" s="1"/>
  <c r="D1205" i="20" s="1"/>
  <c r="E1205" i="20" s="1"/>
  <c r="F1205" i="20" s="1"/>
  <c r="D1206" i="20" s="1"/>
  <c r="E1206" i="20" s="1"/>
  <c r="F1206" i="20" s="1"/>
  <c r="D1207" i="20" s="1"/>
  <c r="E1207" i="20" s="1"/>
  <c r="F1207" i="20" s="1"/>
  <c r="D1208" i="20" s="1"/>
  <c r="E1208" i="20" s="1"/>
  <c r="F1208" i="20" s="1"/>
  <c r="D1209" i="20" s="1"/>
  <c r="E1209" i="20" s="1"/>
  <c r="F1209" i="20" s="1"/>
  <c r="D1210" i="20" s="1"/>
  <c r="E1210" i="20" s="1"/>
  <c r="F1210" i="20" s="1"/>
  <c r="D1211" i="20" s="1"/>
  <c r="E1211" i="20" s="1"/>
  <c r="F1211" i="20" s="1"/>
  <c r="D1212" i="20" s="1"/>
  <c r="E1212" i="20" s="1"/>
  <c r="F1212" i="20" s="1"/>
  <c r="D1213" i="20" s="1"/>
  <c r="E1213" i="20" s="1"/>
  <c r="F1213" i="20" s="1"/>
  <c r="D1214" i="20" s="1"/>
  <c r="E1214" i="20" s="1"/>
  <c r="F1214" i="20" s="1"/>
  <c r="D1215" i="20" s="1"/>
  <c r="E1215" i="20" s="1"/>
  <c r="F1215" i="20" s="1"/>
  <c r="D1216" i="20" s="1"/>
  <c r="E1216" i="20" s="1"/>
  <c r="F1216" i="20" s="1"/>
  <c r="D1217" i="20" s="1"/>
  <c r="E1217" i="20" s="1"/>
  <c r="F1217" i="20" s="1"/>
  <c r="D1218" i="20" s="1"/>
  <c r="E1218" i="20" s="1"/>
  <c r="F1218" i="20" s="1"/>
  <c r="D1219" i="20" s="1"/>
  <c r="E1219" i="20" s="1"/>
  <c r="F1219" i="20" s="1"/>
  <c r="D1220" i="20" s="1"/>
  <c r="E1220" i="20" s="1"/>
  <c r="F1220" i="20" s="1"/>
  <c r="D1221" i="20" s="1"/>
  <c r="E1221" i="20" s="1"/>
  <c r="F1221" i="20" s="1"/>
  <c r="D1222" i="20" s="1"/>
  <c r="E1222" i="20" s="1"/>
  <c r="F1222" i="20" s="1"/>
  <c r="D1223" i="20" s="1"/>
  <c r="E1223" i="20" s="1"/>
  <c r="F1223" i="20" s="1"/>
  <c r="D1224" i="20" s="1"/>
  <c r="E1224" i="20" s="1"/>
  <c r="F1224" i="20" s="1"/>
  <c r="D1225" i="20" s="1"/>
  <c r="E1225" i="20" s="1"/>
  <c r="F1225" i="20" s="1"/>
  <c r="D1226" i="20" s="1"/>
  <c r="E1226" i="20" s="1"/>
  <c r="F1226" i="20" s="1"/>
  <c r="D1227" i="20" s="1"/>
  <c r="E1227" i="20" s="1"/>
  <c r="F1227" i="20" s="1"/>
  <c r="D1228" i="20" s="1"/>
  <c r="E1228" i="20" s="1"/>
  <c r="F1228" i="20" s="1"/>
  <c r="D1229" i="20" s="1"/>
  <c r="E1229" i="20" s="1"/>
  <c r="F1229" i="20" s="1"/>
  <c r="D1230" i="20" s="1"/>
  <c r="E1230" i="20" s="1"/>
  <c r="F1230" i="20" s="1"/>
  <c r="D633" i="20"/>
  <c r="I634" i="20" s="1"/>
  <c r="E637" i="20" s="1"/>
  <c r="F637" i="20" s="1"/>
  <c r="D638" i="20" s="1"/>
  <c r="E638" i="20" s="1"/>
  <c r="F638" i="20" s="1"/>
  <c r="D639" i="20" s="1"/>
  <c r="E639" i="20" s="1"/>
  <c r="F639" i="20" s="1"/>
  <c r="D640" i="20" s="1"/>
  <c r="E640" i="20" s="1"/>
  <c r="F640" i="20" s="1"/>
  <c r="D641" i="20" s="1"/>
  <c r="E641" i="20" s="1"/>
  <c r="F641" i="20" s="1"/>
  <c r="D642" i="20" s="1"/>
  <c r="E642" i="20" s="1"/>
  <c r="F642" i="20" s="1"/>
  <c r="D643" i="20" s="1"/>
  <c r="E643" i="20" s="1"/>
  <c r="F643" i="20" s="1"/>
  <c r="D644" i="20" s="1"/>
  <c r="E644" i="20" s="1"/>
  <c r="F644" i="20" s="1"/>
  <c r="D645" i="20" s="1"/>
  <c r="E645" i="20" s="1"/>
  <c r="F645" i="20" s="1"/>
  <c r="D646" i="20" s="1"/>
  <c r="E646" i="20" s="1"/>
  <c r="F646" i="20" s="1"/>
  <c r="D647" i="20" s="1"/>
  <c r="E647" i="20" s="1"/>
  <c r="F647" i="20" s="1"/>
  <c r="D648" i="20" s="1"/>
  <c r="E648" i="20" s="1"/>
  <c r="F648" i="20" s="1"/>
  <c r="D649" i="20" s="1"/>
  <c r="E649" i="20" s="1"/>
  <c r="F649" i="20" s="1"/>
  <c r="D650" i="20" s="1"/>
  <c r="E650" i="20" s="1"/>
  <c r="F650" i="20" s="1"/>
  <c r="D651" i="20" s="1"/>
  <c r="E651" i="20" s="1"/>
  <c r="F651" i="20" s="1"/>
  <c r="D652" i="20" s="1"/>
  <c r="E652" i="20" s="1"/>
  <c r="F652" i="20" s="1"/>
  <c r="D653" i="20" s="1"/>
  <c r="E653" i="20" s="1"/>
  <c r="F653" i="20" s="1"/>
  <c r="D654" i="20" s="1"/>
  <c r="E654" i="20" s="1"/>
  <c r="F654" i="20" s="1"/>
  <c r="D655" i="20" s="1"/>
  <c r="E655" i="20" s="1"/>
  <c r="F655" i="20" s="1"/>
  <c r="D656" i="20" s="1"/>
  <c r="E656" i="20" s="1"/>
  <c r="F656" i="20" s="1"/>
  <c r="D657" i="20" s="1"/>
  <c r="E657" i="20" s="1"/>
  <c r="F657" i="20" s="1"/>
  <c r="D658" i="20" s="1"/>
  <c r="E658" i="20" s="1"/>
  <c r="F658" i="20" s="1"/>
  <c r="D659" i="20" s="1"/>
  <c r="E659" i="20" s="1"/>
  <c r="F659" i="20" s="1"/>
  <c r="D660" i="20" s="1"/>
  <c r="E660" i="20" s="1"/>
  <c r="F660" i="20" s="1"/>
  <c r="D661" i="20" s="1"/>
  <c r="E661" i="20" s="1"/>
  <c r="F661" i="20" s="1"/>
  <c r="D662" i="20" s="1"/>
  <c r="E662" i="20" s="1"/>
  <c r="F662" i="20" s="1"/>
  <c r="D663" i="20" s="1"/>
  <c r="E663" i="20" s="1"/>
  <c r="F663" i="20" s="1"/>
  <c r="D664" i="20" s="1"/>
  <c r="E664" i="20" s="1"/>
  <c r="F664" i="20" s="1"/>
  <c r="D665" i="20" s="1"/>
  <c r="E665" i="20" s="1"/>
  <c r="F665" i="20" s="1"/>
  <c r="D666" i="20" s="1"/>
  <c r="E666" i="20" s="1"/>
  <c r="F666" i="20" s="1"/>
  <c r="D667" i="20" s="1"/>
  <c r="E667" i="20" s="1"/>
  <c r="F667" i="20" s="1"/>
  <c r="D668" i="20" s="1"/>
  <c r="E668" i="20" s="1"/>
  <c r="F668" i="20" s="1"/>
  <c r="D669" i="20" s="1"/>
  <c r="E669" i="20" s="1"/>
  <c r="F669" i="20" s="1"/>
  <c r="D670" i="20" s="1"/>
  <c r="E670" i="20" s="1"/>
  <c r="F670" i="20" s="1"/>
  <c r="D671" i="20" s="1"/>
  <c r="E671" i="20" s="1"/>
  <c r="F671" i="20" s="1"/>
  <c r="D672" i="20" s="1"/>
  <c r="E672" i="20" s="1"/>
  <c r="F672" i="20" s="1"/>
  <c r="D673" i="20" s="1"/>
  <c r="E673" i="20" s="1"/>
  <c r="F673" i="20" s="1"/>
  <c r="D674" i="20" s="1"/>
  <c r="E674" i="20" s="1"/>
  <c r="F674" i="20" s="1"/>
  <c r="D675" i="20" s="1"/>
  <c r="E675" i="20" s="1"/>
  <c r="F675" i="20" s="1"/>
  <c r="D676" i="20" s="1"/>
  <c r="E676" i="20" s="1"/>
  <c r="F676" i="20" s="1"/>
  <c r="D677" i="20" s="1"/>
  <c r="E677" i="20" s="1"/>
  <c r="F677" i="20" s="1"/>
  <c r="D678" i="20" s="1"/>
  <c r="E678" i="20" s="1"/>
  <c r="F678" i="20" s="1"/>
  <c r="D679" i="20" s="1"/>
  <c r="E679" i="20" s="1"/>
  <c r="F679" i="20" s="1"/>
  <c r="D680" i="20" s="1"/>
  <c r="E680" i="20" s="1"/>
  <c r="F680" i="20" s="1"/>
  <c r="D681" i="20" s="1"/>
  <c r="E681" i="20" s="1"/>
  <c r="F681" i="20" s="1"/>
  <c r="D682" i="20" s="1"/>
  <c r="E682" i="20" s="1"/>
  <c r="F682" i="20" s="1"/>
  <c r="D683" i="20" s="1"/>
  <c r="E683" i="20" s="1"/>
  <c r="F683" i="20" s="1"/>
  <c r="D684" i="20" s="1"/>
  <c r="E684" i="20" s="1"/>
  <c r="F684" i="20" s="1"/>
  <c r="D685" i="20" s="1"/>
  <c r="E685" i="20" s="1"/>
  <c r="F685" i="20" s="1"/>
  <c r="D686" i="20" s="1"/>
  <c r="E686" i="20" s="1"/>
  <c r="F686" i="20" s="1"/>
  <c r="D687" i="20" s="1"/>
  <c r="E687" i="20" s="1"/>
  <c r="F687" i="20" s="1"/>
  <c r="D688" i="20" s="1"/>
  <c r="E688" i="20" s="1"/>
  <c r="F688" i="20" s="1"/>
  <c r="D689" i="20" s="1"/>
  <c r="E689" i="20" s="1"/>
  <c r="F689" i="20" s="1"/>
  <c r="D690" i="20" s="1"/>
  <c r="E690" i="20" s="1"/>
  <c r="F690" i="20" s="1"/>
  <c r="D691" i="20" s="1"/>
  <c r="E691" i="20" s="1"/>
  <c r="F691" i="20" s="1"/>
  <c r="D692" i="20" s="1"/>
  <c r="E692" i="20" s="1"/>
  <c r="F692" i="20" s="1"/>
  <c r="D693" i="20" s="1"/>
  <c r="E693" i="20" s="1"/>
  <c r="F693" i="20" s="1"/>
  <c r="D694" i="20" s="1"/>
  <c r="E694" i="20" s="1"/>
  <c r="F694" i="20" s="1"/>
  <c r="D695" i="20" s="1"/>
  <c r="E695" i="20" s="1"/>
  <c r="F695" i="20" s="1"/>
  <c r="D696" i="20" s="1"/>
  <c r="E696" i="20" s="1"/>
  <c r="F696" i="20" s="1"/>
  <c r="D1880" i="20"/>
  <c r="I1881" i="20" s="1"/>
  <c r="E1884" i="20" s="1"/>
  <c r="F1884" i="20" s="1"/>
  <c r="D1885" i="20" s="1"/>
  <c r="E1885" i="20" s="1"/>
  <c r="F1885" i="20" s="1"/>
  <c r="D1886" i="20" s="1"/>
  <c r="E1886" i="20" s="1"/>
  <c r="F1886" i="20" s="1"/>
  <c r="D1887" i="20" s="1"/>
  <c r="E1887" i="20" s="1"/>
  <c r="F1887" i="20" s="1"/>
  <c r="D1888" i="20" s="1"/>
  <c r="E1888" i="20" s="1"/>
  <c r="F1888" i="20" s="1"/>
  <c r="D1889" i="20" s="1"/>
  <c r="E1889" i="20" s="1"/>
  <c r="F1889" i="20" s="1"/>
  <c r="D1890" i="20" s="1"/>
  <c r="E1890" i="20" s="1"/>
  <c r="F1890" i="20" s="1"/>
  <c r="D1891" i="20" s="1"/>
  <c r="E1891" i="20" s="1"/>
  <c r="F1891" i="20" s="1"/>
  <c r="D1892" i="20" s="1"/>
  <c r="E1892" i="20" s="1"/>
  <c r="F1892" i="20" s="1"/>
  <c r="D1893" i="20" s="1"/>
  <c r="E1893" i="20" s="1"/>
  <c r="F1893" i="20" s="1"/>
  <c r="D1894" i="20" s="1"/>
  <c r="E1894" i="20" s="1"/>
  <c r="F1894" i="20" s="1"/>
  <c r="D1895" i="20" s="1"/>
  <c r="E1895" i="20" s="1"/>
  <c r="F1895" i="20" s="1"/>
  <c r="D1896" i="20" s="1"/>
  <c r="E1896" i="20" s="1"/>
  <c r="F1896" i="20" s="1"/>
  <c r="D1897" i="20" s="1"/>
  <c r="E1897" i="20" s="1"/>
  <c r="F1897" i="20" s="1"/>
  <c r="D1898" i="20" s="1"/>
  <c r="E1898" i="20" s="1"/>
  <c r="F1898" i="20" s="1"/>
  <c r="D1899" i="20" s="1"/>
  <c r="E1899" i="20" s="1"/>
  <c r="F1899" i="20" s="1"/>
  <c r="D1900" i="20" s="1"/>
  <c r="E1900" i="20" s="1"/>
  <c r="F1900" i="20" s="1"/>
  <c r="D1901" i="20" s="1"/>
  <c r="E1901" i="20" s="1"/>
  <c r="F1901" i="20" s="1"/>
  <c r="D1902" i="20" s="1"/>
  <c r="E1902" i="20" s="1"/>
  <c r="F1902" i="20" s="1"/>
  <c r="D1903" i="20" s="1"/>
  <c r="E1903" i="20" s="1"/>
  <c r="F1903" i="20" s="1"/>
  <c r="D1904" i="20" s="1"/>
  <c r="E1904" i="20" s="1"/>
  <c r="F1904" i="20" s="1"/>
  <c r="D1905" i="20" s="1"/>
  <c r="E1905" i="20" s="1"/>
  <c r="F1905" i="20" s="1"/>
  <c r="D1906" i="20" s="1"/>
  <c r="E1906" i="20" s="1"/>
  <c r="F1906" i="20" s="1"/>
  <c r="D1907" i="20" s="1"/>
  <c r="E1907" i="20" s="1"/>
  <c r="F1907" i="20" s="1"/>
  <c r="D1908" i="20" s="1"/>
  <c r="E1908" i="20" s="1"/>
  <c r="F1908" i="20" s="1"/>
  <c r="D1909" i="20" s="1"/>
  <c r="E1909" i="20" s="1"/>
  <c r="F1909" i="20" s="1"/>
  <c r="D1910" i="20" s="1"/>
  <c r="E1910" i="20" s="1"/>
  <c r="F1910" i="20" s="1"/>
  <c r="D1911" i="20" s="1"/>
  <c r="E1911" i="20" s="1"/>
  <c r="F1911" i="20" s="1"/>
  <c r="D1912" i="20" s="1"/>
  <c r="E1912" i="20" s="1"/>
  <c r="F1912" i="20" s="1"/>
  <c r="D1913" i="20" s="1"/>
  <c r="E1913" i="20" s="1"/>
  <c r="F1913" i="20" s="1"/>
  <c r="D1914" i="20" s="1"/>
  <c r="E1914" i="20" s="1"/>
  <c r="F1914" i="20" s="1"/>
  <c r="D1915" i="20" s="1"/>
  <c r="E1915" i="20" s="1"/>
  <c r="F1915" i="20" s="1"/>
  <c r="D1916" i="20" s="1"/>
  <c r="E1916" i="20" s="1"/>
  <c r="F1916" i="20" s="1"/>
  <c r="D1917" i="20" s="1"/>
  <c r="E1917" i="20" s="1"/>
  <c r="F1917" i="20" s="1"/>
  <c r="D1918" i="20" s="1"/>
  <c r="E1918" i="20" s="1"/>
  <c r="F1918" i="20" s="1"/>
  <c r="D1919" i="20" s="1"/>
  <c r="E1919" i="20" s="1"/>
  <c r="F1919" i="20" s="1"/>
  <c r="D1920" i="20" s="1"/>
  <c r="E1920" i="20" s="1"/>
  <c r="F1920" i="20" s="1"/>
  <c r="D1921" i="20" s="1"/>
  <c r="E1921" i="20" s="1"/>
  <c r="F1921" i="20" s="1"/>
  <c r="D1922" i="20" s="1"/>
  <c r="E1922" i="20" s="1"/>
  <c r="F1922" i="20" s="1"/>
  <c r="D1923" i="20" s="1"/>
  <c r="E1923" i="20" s="1"/>
  <c r="F1923" i="20" s="1"/>
  <c r="D1924" i="20" s="1"/>
  <c r="E1924" i="20" s="1"/>
  <c r="F1924" i="20" s="1"/>
  <c r="D1925" i="20" s="1"/>
  <c r="E1925" i="20" s="1"/>
  <c r="F1925" i="20" s="1"/>
  <c r="D1926" i="20" s="1"/>
  <c r="E1926" i="20" s="1"/>
  <c r="F1926" i="20" s="1"/>
  <c r="D1927" i="20" s="1"/>
  <c r="E1927" i="20" s="1"/>
  <c r="F1927" i="20" s="1"/>
  <c r="D1928" i="20" s="1"/>
  <c r="E1928" i="20" s="1"/>
  <c r="F1928" i="20" s="1"/>
  <c r="D1929" i="20" s="1"/>
  <c r="E1929" i="20" s="1"/>
  <c r="F1929" i="20" s="1"/>
  <c r="D1930" i="20" s="1"/>
  <c r="E1930" i="20" s="1"/>
  <c r="F1930" i="20" s="1"/>
  <c r="D1931" i="20" s="1"/>
  <c r="E1931" i="20" s="1"/>
  <c r="F1931" i="20" s="1"/>
  <c r="D1932" i="20" s="1"/>
  <c r="E1932" i="20" s="1"/>
  <c r="F1932" i="20" s="1"/>
  <c r="D1933" i="20" s="1"/>
  <c r="E1933" i="20" s="1"/>
  <c r="F1933" i="20" s="1"/>
  <c r="D1934" i="20" s="1"/>
  <c r="E1934" i="20" s="1"/>
  <c r="F1934" i="20" s="1"/>
  <c r="D1935" i="20" s="1"/>
  <c r="E1935" i="20" s="1"/>
  <c r="F1935" i="20" s="1"/>
  <c r="D1936" i="20" s="1"/>
  <c r="E1936" i="20" s="1"/>
  <c r="F1936" i="20" s="1"/>
  <c r="D1937" i="20" s="1"/>
  <c r="E1937" i="20" s="1"/>
  <c r="F1937" i="20" s="1"/>
  <c r="D1938" i="20" s="1"/>
  <c r="E1938" i="20" s="1"/>
  <c r="F1938" i="20" s="1"/>
  <c r="D1939" i="20" s="1"/>
  <c r="E1939" i="20" s="1"/>
  <c r="F1939" i="20" s="1"/>
  <c r="D1940" i="20" s="1"/>
  <c r="E1940" i="20" s="1"/>
  <c r="F1940" i="20" s="1"/>
  <c r="D1941" i="20" s="1"/>
  <c r="E1941" i="20" s="1"/>
  <c r="F1941" i="20" s="1"/>
  <c r="D1942" i="20" s="1"/>
  <c r="E1942" i="20" s="1"/>
  <c r="F1942" i="20" s="1"/>
  <c r="D1943" i="20" s="1"/>
  <c r="E1943" i="20" s="1"/>
  <c r="F1943" i="20" s="1"/>
  <c r="D96" i="20"/>
  <c r="I97" i="20" s="1"/>
  <c r="E100" i="20" s="1"/>
  <c r="F100" i="20" s="1"/>
  <c r="D101" i="20" s="1"/>
  <c r="E101" i="20" s="1"/>
  <c r="F101" i="20" s="1"/>
  <c r="D102" i="20" s="1"/>
  <c r="E102" i="20" s="1"/>
  <c r="F102" i="20" s="1"/>
  <c r="D103" i="20" s="1"/>
  <c r="E103" i="20" s="1"/>
  <c r="F103" i="20" s="1"/>
  <c r="D104" i="20" s="1"/>
  <c r="E104" i="20" s="1"/>
  <c r="F104" i="20" s="1"/>
  <c r="D105" i="20" s="1"/>
  <c r="E105" i="20" s="1"/>
  <c r="F105" i="20" s="1"/>
  <c r="D106" i="20" s="1"/>
  <c r="E106" i="20" s="1"/>
  <c r="F106" i="20" s="1"/>
  <c r="D107" i="20" s="1"/>
  <c r="E107" i="20" s="1"/>
  <c r="F107" i="20" s="1"/>
  <c r="D108" i="20" s="1"/>
  <c r="D1256" i="20"/>
  <c r="I1257" i="20" s="1"/>
  <c r="E1260" i="20" s="1"/>
  <c r="F1260" i="20" s="1"/>
  <c r="D1261" i="20" s="1"/>
  <c r="E1261" i="20" s="1"/>
  <c r="F1261" i="20" s="1"/>
  <c r="D1262" i="20" s="1"/>
  <c r="E1262" i="20" s="1"/>
  <c r="F1262" i="20" s="1"/>
  <c r="D1263" i="20" s="1"/>
  <c r="E1263" i="20" s="1"/>
  <c r="F1263" i="20" s="1"/>
  <c r="D1264" i="20" s="1"/>
  <c r="E1264" i="20" s="1"/>
  <c r="F1264" i="20" s="1"/>
  <c r="D1265" i="20" s="1"/>
  <c r="E1265" i="20" s="1"/>
  <c r="F1265" i="20" s="1"/>
  <c r="D1266" i="20" s="1"/>
  <c r="E1266" i="20" s="1"/>
  <c r="F1266" i="20" s="1"/>
  <c r="D1267" i="20" s="1"/>
  <c r="E1267" i="20" s="1"/>
  <c r="F1267" i="20" s="1"/>
  <c r="D1268" i="20" s="1"/>
  <c r="E1268" i="20" s="1"/>
  <c r="F1268" i="20" s="1"/>
  <c r="D1269" i="20" s="1"/>
  <c r="E1269" i="20" s="1"/>
  <c r="F1269" i="20" s="1"/>
  <c r="D1270" i="20" s="1"/>
  <c r="E1270" i="20" s="1"/>
  <c r="F1270" i="20" s="1"/>
  <c r="D1271" i="20" s="1"/>
  <c r="E1271" i="20" s="1"/>
  <c r="F1271" i="20" s="1"/>
  <c r="D1272" i="20" s="1"/>
  <c r="E1272" i="20" s="1"/>
  <c r="F1272" i="20" s="1"/>
  <c r="D1273" i="20" s="1"/>
  <c r="E1273" i="20" s="1"/>
  <c r="F1273" i="20" s="1"/>
  <c r="D1274" i="20" s="1"/>
  <c r="E1274" i="20" s="1"/>
  <c r="F1274" i="20" s="1"/>
  <c r="D1275" i="20" s="1"/>
  <c r="E1275" i="20" s="1"/>
  <c r="F1275" i="20" s="1"/>
  <c r="D1276" i="20" s="1"/>
  <c r="E1276" i="20" s="1"/>
  <c r="F1276" i="20" s="1"/>
  <c r="D1277" i="20" s="1"/>
  <c r="E1277" i="20" s="1"/>
  <c r="F1277" i="20" s="1"/>
  <c r="D1278" i="20" s="1"/>
  <c r="E1278" i="20" s="1"/>
  <c r="F1278" i="20" s="1"/>
  <c r="D1279" i="20" s="1"/>
  <c r="E1279" i="20" s="1"/>
  <c r="F1279" i="20" s="1"/>
  <c r="D1280" i="20" s="1"/>
  <c r="E1280" i="20" s="1"/>
  <c r="F1280" i="20" s="1"/>
  <c r="D1281" i="20" s="1"/>
  <c r="E1281" i="20" s="1"/>
  <c r="F1281" i="20" s="1"/>
  <c r="D1282" i="20" s="1"/>
  <c r="E1282" i="20" s="1"/>
  <c r="F1282" i="20" s="1"/>
  <c r="D1283" i="20" s="1"/>
  <c r="E1283" i="20" s="1"/>
  <c r="F1283" i="20" s="1"/>
  <c r="D1284" i="20" s="1"/>
  <c r="E1284" i="20" s="1"/>
  <c r="F1284" i="20" s="1"/>
  <c r="D1285" i="20" s="1"/>
  <c r="E1285" i="20" s="1"/>
  <c r="F1285" i="20" s="1"/>
  <c r="D1286" i="20" s="1"/>
  <c r="E1286" i="20" s="1"/>
  <c r="F1286" i="20" s="1"/>
  <c r="D1287" i="20" s="1"/>
  <c r="E1287" i="20" s="1"/>
  <c r="F1287" i="20" s="1"/>
  <c r="D1288" i="20" s="1"/>
  <c r="E1288" i="20" s="1"/>
  <c r="F1288" i="20" s="1"/>
  <c r="D1289" i="20" s="1"/>
  <c r="E1289" i="20" s="1"/>
  <c r="F1289" i="20" s="1"/>
  <c r="D1290" i="20" s="1"/>
  <c r="E1290" i="20" s="1"/>
  <c r="F1290" i="20" s="1"/>
  <c r="D1291" i="20" s="1"/>
  <c r="E1291" i="20" s="1"/>
  <c r="F1291" i="20" s="1"/>
  <c r="D1292" i="20" s="1"/>
  <c r="E1292" i="20" s="1"/>
  <c r="F1292" i="20" s="1"/>
  <c r="D1293" i="20" s="1"/>
  <c r="E1293" i="20" s="1"/>
  <c r="F1293" i="20" s="1"/>
  <c r="D1294" i="20" s="1"/>
  <c r="E1294" i="20" s="1"/>
  <c r="F1294" i="20" s="1"/>
  <c r="D1295" i="20" s="1"/>
  <c r="E1295" i="20" s="1"/>
  <c r="F1295" i="20" s="1"/>
  <c r="D1296" i="20" s="1"/>
  <c r="E1296" i="20" s="1"/>
  <c r="F1296" i="20" s="1"/>
  <c r="D1297" i="20" s="1"/>
  <c r="E1297" i="20" s="1"/>
  <c r="F1297" i="20" s="1"/>
  <c r="D1298" i="20" s="1"/>
  <c r="E1298" i="20" s="1"/>
  <c r="F1298" i="20" s="1"/>
  <c r="D1299" i="20" s="1"/>
  <c r="E1299" i="20" s="1"/>
  <c r="F1299" i="20" s="1"/>
  <c r="D1300" i="20" s="1"/>
  <c r="E1300" i="20" s="1"/>
  <c r="F1300" i="20" s="1"/>
  <c r="D1301" i="20" s="1"/>
  <c r="E1301" i="20" s="1"/>
  <c r="F1301" i="20" s="1"/>
  <c r="D1302" i="20" s="1"/>
  <c r="E1302" i="20" s="1"/>
  <c r="F1302" i="20" s="1"/>
  <c r="D1303" i="20" s="1"/>
  <c r="E1303" i="20" s="1"/>
  <c r="F1303" i="20" s="1"/>
  <c r="D1304" i="20" s="1"/>
  <c r="E1304" i="20" s="1"/>
  <c r="F1304" i="20" s="1"/>
  <c r="D1305" i="20" s="1"/>
  <c r="E1305" i="20" s="1"/>
  <c r="F1305" i="20" s="1"/>
  <c r="D1306" i="20" s="1"/>
  <c r="E1306" i="20" s="1"/>
  <c r="F1306" i="20" s="1"/>
  <c r="D1307" i="20" s="1"/>
  <c r="E1307" i="20" s="1"/>
  <c r="F1307" i="20" s="1"/>
  <c r="D1308" i="20" s="1"/>
  <c r="E1308" i="20" s="1"/>
  <c r="F1308" i="20" s="1"/>
  <c r="D1309" i="20" s="1"/>
  <c r="E1309" i="20" s="1"/>
  <c r="F1309" i="20" s="1"/>
  <c r="D1310" i="20" s="1"/>
  <c r="E1310" i="20" s="1"/>
  <c r="F1310" i="20" s="1"/>
  <c r="D1311" i="20" s="1"/>
  <c r="E1311" i="20" s="1"/>
  <c r="F1311" i="20" s="1"/>
  <c r="D1312" i="20" s="1"/>
  <c r="E1312" i="20" s="1"/>
  <c r="F1312" i="20" s="1"/>
  <c r="D1313" i="20" s="1"/>
  <c r="E1313" i="20" s="1"/>
  <c r="F1313" i="20" s="1"/>
  <c r="D1314" i="20" s="1"/>
  <c r="E1314" i="20" s="1"/>
  <c r="F1314" i="20" s="1"/>
  <c r="D1315" i="20" s="1"/>
  <c r="E1315" i="20" s="1"/>
  <c r="F1315" i="20" s="1"/>
  <c r="D1316" i="20" s="1"/>
  <c r="E1316" i="20" s="1"/>
  <c r="F1316" i="20" s="1"/>
  <c r="D1317" i="20" s="1"/>
  <c r="E1317" i="20" s="1"/>
  <c r="F1317" i="20" s="1"/>
  <c r="D1318" i="20" s="1"/>
  <c r="E1318" i="20" s="1"/>
  <c r="F1318" i="20" s="1"/>
  <c r="D1319" i="20" s="1"/>
  <c r="E1319" i="20" s="1"/>
  <c r="F1319" i="20" s="1"/>
  <c r="D544" i="20"/>
  <c r="I545" i="20" s="1"/>
  <c r="D811" i="20"/>
  <c r="I812" i="20" s="1"/>
  <c r="E815" i="20" s="1"/>
  <c r="F815" i="20" s="1"/>
  <c r="D816" i="20" s="1"/>
  <c r="E816" i="20" s="1"/>
  <c r="F816" i="20" s="1"/>
  <c r="D817" i="20" s="1"/>
  <c r="E817" i="20" s="1"/>
  <c r="F817" i="20" s="1"/>
  <c r="D818" i="20" s="1"/>
  <c r="E818" i="20" s="1"/>
  <c r="F818" i="20" s="1"/>
  <c r="D819" i="20" s="1"/>
  <c r="E819" i="20" s="1"/>
  <c r="F819" i="20" s="1"/>
  <c r="D820" i="20" s="1"/>
  <c r="E820" i="20" s="1"/>
  <c r="F820" i="20" s="1"/>
  <c r="D821" i="20" s="1"/>
  <c r="E821" i="20" s="1"/>
  <c r="F821" i="20" s="1"/>
  <c r="D822" i="20" s="1"/>
  <c r="E822" i="20" s="1"/>
  <c r="F822" i="20" s="1"/>
  <c r="D823" i="20" s="1"/>
  <c r="E823" i="20" s="1"/>
  <c r="F823" i="20" s="1"/>
  <c r="D824" i="20" s="1"/>
  <c r="E824" i="20" s="1"/>
  <c r="F824" i="20" s="1"/>
  <c r="D825" i="20" s="1"/>
  <c r="E825" i="20" s="1"/>
  <c r="F825" i="20" s="1"/>
  <c r="D826" i="20" s="1"/>
  <c r="E826" i="20" s="1"/>
  <c r="F826" i="20" s="1"/>
  <c r="D827" i="20" s="1"/>
  <c r="E827" i="20" s="1"/>
  <c r="F827" i="20" s="1"/>
  <c r="D828" i="20" s="1"/>
  <c r="E828" i="20" s="1"/>
  <c r="F828" i="20" s="1"/>
  <c r="D829" i="20" s="1"/>
  <c r="E829" i="20" s="1"/>
  <c r="F829" i="20" s="1"/>
  <c r="D830" i="20" s="1"/>
  <c r="E830" i="20" s="1"/>
  <c r="F830" i="20" s="1"/>
  <c r="D831" i="20" s="1"/>
  <c r="E831" i="20" s="1"/>
  <c r="F831" i="20" s="1"/>
  <c r="D832" i="20" s="1"/>
  <c r="E832" i="20" s="1"/>
  <c r="F832" i="20" s="1"/>
  <c r="D833" i="20" s="1"/>
  <c r="E833" i="20" s="1"/>
  <c r="F833" i="20" s="1"/>
  <c r="D834" i="20" s="1"/>
  <c r="E834" i="20" s="1"/>
  <c r="F834" i="20" s="1"/>
  <c r="D835" i="20" s="1"/>
  <c r="E835" i="20" s="1"/>
  <c r="F835" i="20" s="1"/>
  <c r="D836" i="20" s="1"/>
  <c r="E836" i="20" s="1"/>
  <c r="F836" i="20" s="1"/>
  <c r="D837" i="20" s="1"/>
  <c r="E837" i="20" s="1"/>
  <c r="F837" i="20" s="1"/>
  <c r="D838" i="20" s="1"/>
  <c r="E838" i="20" s="1"/>
  <c r="F838" i="20" s="1"/>
  <c r="D839" i="20" s="1"/>
  <c r="E839" i="20" s="1"/>
  <c r="F839" i="20" s="1"/>
  <c r="D840" i="20" s="1"/>
  <c r="E840" i="20" s="1"/>
  <c r="F840" i="20" s="1"/>
  <c r="D841" i="20" s="1"/>
  <c r="E841" i="20" s="1"/>
  <c r="F841" i="20" s="1"/>
  <c r="D842" i="20" s="1"/>
  <c r="E842" i="20" s="1"/>
  <c r="F842" i="20" s="1"/>
  <c r="D843" i="20" s="1"/>
  <c r="E843" i="20" s="1"/>
  <c r="F843" i="20" s="1"/>
  <c r="D844" i="20" s="1"/>
  <c r="E844" i="20" s="1"/>
  <c r="F844" i="20" s="1"/>
  <c r="D845" i="20" s="1"/>
  <c r="E845" i="20" s="1"/>
  <c r="F845" i="20" s="1"/>
  <c r="D846" i="20" s="1"/>
  <c r="E846" i="20" s="1"/>
  <c r="F846" i="20" s="1"/>
  <c r="D847" i="20" s="1"/>
  <c r="E847" i="20" s="1"/>
  <c r="F847" i="20" s="1"/>
  <c r="D848" i="20" s="1"/>
  <c r="E848" i="20" s="1"/>
  <c r="F848" i="20" s="1"/>
  <c r="D849" i="20" s="1"/>
  <c r="E849" i="20" s="1"/>
  <c r="F849" i="20" s="1"/>
  <c r="D850" i="20" s="1"/>
  <c r="E850" i="20" s="1"/>
  <c r="F850" i="20" s="1"/>
  <c r="D851" i="20" s="1"/>
  <c r="E851" i="20" s="1"/>
  <c r="F851" i="20" s="1"/>
  <c r="D852" i="20" s="1"/>
  <c r="E852" i="20" s="1"/>
  <c r="F852" i="20" s="1"/>
  <c r="D853" i="20" s="1"/>
  <c r="E853" i="20" s="1"/>
  <c r="F853" i="20" s="1"/>
  <c r="D854" i="20" s="1"/>
  <c r="E854" i="20" s="1"/>
  <c r="F854" i="20" s="1"/>
  <c r="D855" i="20" s="1"/>
  <c r="E855" i="20" s="1"/>
  <c r="F855" i="20" s="1"/>
  <c r="D856" i="20" s="1"/>
  <c r="E856" i="20" s="1"/>
  <c r="F856" i="20" s="1"/>
  <c r="D857" i="20" s="1"/>
  <c r="E857" i="20" s="1"/>
  <c r="F857" i="20" s="1"/>
  <c r="D858" i="20" s="1"/>
  <c r="E858" i="20" s="1"/>
  <c r="F858" i="20" s="1"/>
  <c r="D859" i="20" s="1"/>
  <c r="E859" i="20" s="1"/>
  <c r="F859" i="20" s="1"/>
  <c r="D860" i="20" s="1"/>
  <c r="E860" i="20" s="1"/>
  <c r="F860" i="20" s="1"/>
  <c r="D861" i="20" s="1"/>
  <c r="E861" i="20" s="1"/>
  <c r="F861" i="20" s="1"/>
  <c r="D862" i="20" s="1"/>
  <c r="E862" i="20" s="1"/>
  <c r="F862" i="20" s="1"/>
  <c r="D863" i="20" s="1"/>
  <c r="E863" i="20" s="1"/>
  <c r="F863" i="20" s="1"/>
  <c r="D864" i="20" s="1"/>
  <c r="E864" i="20" s="1"/>
  <c r="F864" i="20" s="1"/>
  <c r="D865" i="20" s="1"/>
  <c r="E865" i="20" s="1"/>
  <c r="F865" i="20" s="1"/>
  <c r="D866" i="20" s="1"/>
  <c r="E866" i="20" s="1"/>
  <c r="F866" i="20" s="1"/>
  <c r="D867" i="20" s="1"/>
  <c r="E867" i="20" s="1"/>
  <c r="F867" i="20" s="1"/>
  <c r="D868" i="20" s="1"/>
  <c r="E868" i="20" s="1"/>
  <c r="F868" i="20" s="1"/>
  <c r="D869" i="20" s="1"/>
  <c r="E869" i="20" s="1"/>
  <c r="F869" i="20" s="1"/>
  <c r="D870" i="20" s="1"/>
  <c r="E870" i="20" s="1"/>
  <c r="F870" i="20" s="1"/>
  <c r="D871" i="20" s="1"/>
  <c r="E871" i="20" s="1"/>
  <c r="F871" i="20" s="1"/>
  <c r="D872" i="20" s="1"/>
  <c r="E872" i="20" s="1"/>
  <c r="F872" i="20" s="1"/>
  <c r="D873" i="20" s="1"/>
  <c r="E873" i="20" s="1"/>
  <c r="F873" i="20" s="1"/>
  <c r="D874" i="20" s="1"/>
  <c r="E874" i="20" s="1"/>
  <c r="F874" i="20" s="1"/>
  <c r="D276" i="20"/>
  <c r="I277" i="20" s="1"/>
  <c r="E280" i="20" s="1"/>
  <c r="F280" i="20" s="1"/>
  <c r="D281" i="20" s="1"/>
  <c r="E281" i="20" s="1"/>
  <c r="F281" i="20" s="1"/>
  <c r="D282" i="20" s="1"/>
  <c r="E282" i="20" s="1"/>
  <c r="F282" i="20" s="1"/>
  <c r="D283" i="20" s="1"/>
  <c r="E283" i="20" s="1"/>
  <c r="F283" i="20" s="1"/>
  <c r="D284" i="20" s="1"/>
  <c r="E284" i="20" s="1"/>
  <c r="F284" i="20" s="1"/>
  <c r="D285" i="20" s="1"/>
  <c r="E285" i="20" s="1"/>
  <c r="F285" i="20" s="1"/>
  <c r="D286" i="20" s="1"/>
  <c r="E286" i="20" s="1"/>
  <c r="F286" i="20" s="1"/>
  <c r="D287" i="20" s="1"/>
  <c r="E287" i="20" s="1"/>
  <c r="F287" i="20" s="1"/>
  <c r="D288" i="20" s="1"/>
  <c r="E288" i="20" s="1"/>
  <c r="F288" i="20" s="1"/>
  <c r="D289" i="20" s="1"/>
  <c r="E289" i="20" s="1"/>
  <c r="F289" i="20" s="1"/>
  <c r="D290" i="20" s="1"/>
  <c r="E290" i="20" s="1"/>
  <c r="F290" i="20" s="1"/>
  <c r="D291" i="20" s="1"/>
  <c r="E291" i="20" s="1"/>
  <c r="F291" i="20" s="1"/>
  <c r="D292" i="20" s="1"/>
  <c r="E292" i="20" s="1"/>
  <c r="F292" i="20" s="1"/>
  <c r="D293" i="20" s="1"/>
  <c r="E293" i="20" s="1"/>
  <c r="F293" i="20" s="1"/>
  <c r="D294" i="20" s="1"/>
  <c r="E294" i="20" s="1"/>
  <c r="F294" i="20" s="1"/>
  <c r="D295" i="20" s="1"/>
  <c r="E295" i="20" s="1"/>
  <c r="F295" i="20" s="1"/>
  <c r="D296" i="20" s="1"/>
  <c r="E296" i="20" s="1"/>
  <c r="F296" i="20" s="1"/>
  <c r="D297" i="20" s="1"/>
  <c r="E297" i="20" s="1"/>
  <c r="F297" i="20" s="1"/>
  <c r="D298" i="20" s="1"/>
  <c r="D1701" i="20"/>
  <c r="D1969" i="20"/>
  <c r="I1970" i="20" s="1"/>
  <c r="E1973" i="20" s="1"/>
  <c r="F1973" i="20" s="1"/>
  <c r="D1974" i="20" s="1"/>
  <c r="E1974" i="20" s="1"/>
  <c r="F1974" i="20" s="1"/>
  <c r="D1975" i="20" s="1"/>
  <c r="E1975" i="20" s="1"/>
  <c r="F1975" i="20" s="1"/>
  <c r="D1976" i="20" s="1"/>
  <c r="E1976" i="20" s="1"/>
  <c r="F1976" i="20" s="1"/>
  <c r="D1977" i="20" s="1"/>
  <c r="E1977" i="20" s="1"/>
  <c r="F1977" i="20" s="1"/>
  <c r="D1978" i="20" s="1"/>
  <c r="E1978" i="20" s="1"/>
  <c r="F1978" i="20" s="1"/>
  <c r="D1979" i="20" s="1"/>
  <c r="E1979" i="20" s="1"/>
  <c r="F1979" i="20" s="1"/>
  <c r="D1980" i="20" s="1"/>
  <c r="E1980" i="20" s="1"/>
  <c r="F1980" i="20" s="1"/>
  <c r="D1981" i="20" s="1"/>
  <c r="E1981" i="20" s="1"/>
  <c r="F1981" i="20" s="1"/>
  <c r="D1982" i="20" s="1"/>
  <c r="E1982" i="20" s="1"/>
  <c r="F1982" i="20" s="1"/>
  <c r="D1983" i="20" s="1"/>
  <c r="E1983" i="20" s="1"/>
  <c r="F1983" i="20" s="1"/>
  <c r="D1984" i="20" s="1"/>
  <c r="E1984" i="20" s="1"/>
  <c r="F1984" i="20" s="1"/>
  <c r="D1985" i="20" s="1"/>
  <c r="E1985" i="20" s="1"/>
  <c r="F1985" i="20" s="1"/>
  <c r="D1986" i="20" s="1"/>
  <c r="E1986" i="20" s="1"/>
  <c r="F1986" i="20" s="1"/>
  <c r="D1987" i="20" s="1"/>
  <c r="E1987" i="20" s="1"/>
  <c r="F1987" i="20" s="1"/>
  <c r="D1988" i="20" s="1"/>
  <c r="E1988" i="20" s="1"/>
  <c r="F1988" i="20" s="1"/>
  <c r="D1989" i="20" s="1"/>
  <c r="E1989" i="20" s="1"/>
  <c r="F1989" i="20" s="1"/>
  <c r="D1990" i="20" s="1"/>
  <c r="E1990" i="20" s="1"/>
  <c r="F1990" i="20" s="1"/>
  <c r="D1991" i="20" s="1"/>
  <c r="E1991" i="20" s="1"/>
  <c r="F1991" i="20" s="1"/>
  <c r="D1992" i="20" s="1"/>
  <c r="E1992" i="20" s="1"/>
  <c r="F1992" i="20" s="1"/>
  <c r="D1993" i="20" s="1"/>
  <c r="E1993" i="20" s="1"/>
  <c r="F1993" i="20" s="1"/>
  <c r="D1994" i="20" s="1"/>
  <c r="E1994" i="20" s="1"/>
  <c r="F1994" i="20" s="1"/>
  <c r="D1995" i="20" s="1"/>
  <c r="E1995" i="20" s="1"/>
  <c r="F1995" i="20" s="1"/>
  <c r="D1996" i="20" s="1"/>
  <c r="E1996" i="20" s="1"/>
  <c r="F1996" i="20" s="1"/>
  <c r="D1997" i="20" s="1"/>
  <c r="E1997" i="20" s="1"/>
  <c r="F1997" i="20" s="1"/>
  <c r="D1998" i="20" s="1"/>
  <c r="E1998" i="20" s="1"/>
  <c r="F1998" i="20" s="1"/>
  <c r="D1999" i="20" s="1"/>
  <c r="E1999" i="20" s="1"/>
  <c r="F1999" i="20" s="1"/>
  <c r="D2000" i="20" s="1"/>
  <c r="E2000" i="20" s="1"/>
  <c r="F2000" i="20" s="1"/>
  <c r="D2001" i="20" s="1"/>
  <c r="E2001" i="20" s="1"/>
  <c r="F2001" i="20" s="1"/>
  <c r="D2002" i="20" s="1"/>
  <c r="E2002" i="20" s="1"/>
  <c r="F2002" i="20" s="1"/>
  <c r="D2003" i="20" s="1"/>
  <c r="D989" i="20"/>
  <c r="I990" i="20" s="1"/>
  <c r="E993" i="20" s="1"/>
  <c r="F993" i="20" s="1"/>
  <c r="D994" i="20" s="1"/>
  <c r="E994" i="20" s="1"/>
  <c r="F994" i="20" s="1"/>
  <c r="D995" i="20" s="1"/>
  <c r="E995" i="20" s="1"/>
  <c r="F995" i="20" s="1"/>
  <c r="D996" i="20" s="1"/>
  <c r="E996" i="20" s="1"/>
  <c r="F996" i="20" s="1"/>
  <c r="D997" i="20" s="1"/>
  <c r="E997" i="20" s="1"/>
  <c r="F997" i="20" s="1"/>
  <c r="D998" i="20" s="1"/>
  <c r="E998" i="20" s="1"/>
  <c r="F998" i="20" s="1"/>
  <c r="D999" i="20" s="1"/>
  <c r="E999" i="20" s="1"/>
  <c r="F999" i="20" s="1"/>
  <c r="D1000" i="20" s="1"/>
  <c r="E1000" i="20" s="1"/>
  <c r="F1000" i="20" s="1"/>
  <c r="D1001" i="20" s="1"/>
  <c r="E1001" i="20" s="1"/>
  <c r="F1001" i="20" s="1"/>
  <c r="D1002" i="20" s="1"/>
  <c r="E1002" i="20" s="1"/>
  <c r="F1002" i="20" s="1"/>
  <c r="D1003" i="20" s="1"/>
  <c r="E1003" i="20" s="1"/>
  <c r="F1003" i="20" s="1"/>
  <c r="D1004" i="20" s="1"/>
  <c r="E1004" i="20" s="1"/>
  <c r="F1004" i="20" s="1"/>
  <c r="D1005" i="20" s="1"/>
  <c r="E1005" i="20" s="1"/>
  <c r="F1005" i="20" s="1"/>
  <c r="D1006" i="20" s="1"/>
  <c r="E1006" i="20" s="1"/>
  <c r="F1006" i="20" s="1"/>
  <c r="D1007" i="20" s="1"/>
  <c r="E1007" i="20" s="1"/>
  <c r="F1007" i="20" s="1"/>
  <c r="D1008" i="20" s="1"/>
  <c r="E1008" i="20" s="1"/>
  <c r="F1008" i="20" s="1"/>
  <c r="D1009" i="20" s="1"/>
  <c r="E1009" i="20" s="1"/>
  <c r="F1009" i="20" s="1"/>
  <c r="D1010" i="20" s="1"/>
  <c r="E1010" i="20" s="1"/>
  <c r="F1010" i="20" s="1"/>
  <c r="D1011" i="20" s="1"/>
  <c r="E1011" i="20" s="1"/>
  <c r="F1011" i="20" s="1"/>
  <c r="D1012" i="20" s="1"/>
  <c r="E1012" i="20" s="1"/>
  <c r="F1012" i="20" s="1"/>
  <c r="D1013" i="20" s="1"/>
  <c r="E1013" i="20" s="1"/>
  <c r="F1013" i="20" s="1"/>
  <c r="D1014" i="20" s="1"/>
  <c r="E1014" i="20" s="1"/>
  <c r="F1014" i="20" s="1"/>
  <c r="D1015" i="20" s="1"/>
  <c r="E1015" i="20" s="1"/>
  <c r="F1015" i="20" s="1"/>
  <c r="D1016" i="20" s="1"/>
  <c r="E1016" i="20" s="1"/>
  <c r="F1016" i="20" s="1"/>
  <c r="D1017" i="20" s="1"/>
  <c r="E1017" i="20" s="1"/>
  <c r="F1017" i="20" s="1"/>
  <c r="D1018" i="20" s="1"/>
  <c r="E1018" i="20" s="1"/>
  <c r="F1018" i="20" s="1"/>
  <c r="D1019" i="20" s="1"/>
  <c r="E1019" i="20" s="1"/>
  <c r="F1019" i="20" s="1"/>
  <c r="D1020" i="20" s="1"/>
  <c r="E1020" i="20" s="1"/>
  <c r="F1020" i="20" s="1"/>
  <c r="D1021" i="20" s="1"/>
  <c r="E1021" i="20" s="1"/>
  <c r="F1021" i="20" s="1"/>
  <c r="D1022" i="20" s="1"/>
  <c r="E1022" i="20" s="1"/>
  <c r="F1022" i="20" s="1"/>
  <c r="D1023" i="20" s="1"/>
  <c r="E1023" i="20" s="1"/>
  <c r="F1023" i="20" s="1"/>
  <c r="D1024" i="20" s="1"/>
  <c r="E1024" i="20" s="1"/>
  <c r="F1024" i="20" s="1"/>
  <c r="D1025" i="20" s="1"/>
  <c r="E1025" i="20" s="1"/>
  <c r="F1025" i="20" s="1"/>
  <c r="D1026" i="20" s="1"/>
  <c r="E1026" i="20" s="1"/>
  <c r="F1026" i="20" s="1"/>
  <c r="D1027" i="20" s="1"/>
  <c r="E1027" i="20" s="1"/>
  <c r="F1027" i="20" s="1"/>
  <c r="D1028" i="20" s="1"/>
  <c r="E1028" i="20" s="1"/>
  <c r="F1028" i="20" s="1"/>
  <c r="D1029" i="20" s="1"/>
  <c r="E1029" i="20" s="1"/>
  <c r="F1029" i="20" s="1"/>
  <c r="D1030" i="20" s="1"/>
  <c r="E1030" i="20" s="1"/>
  <c r="F1030" i="20" s="1"/>
  <c r="D1031" i="20" s="1"/>
  <c r="E1031" i="20" s="1"/>
  <c r="F1031" i="20" s="1"/>
  <c r="D1032" i="20" s="1"/>
  <c r="E1032" i="20" s="1"/>
  <c r="F1032" i="20" s="1"/>
  <c r="D1033" i="20" s="1"/>
  <c r="E1033" i="20" s="1"/>
  <c r="F1033" i="20" s="1"/>
  <c r="D1034" i="20" s="1"/>
  <c r="E1034" i="20" s="1"/>
  <c r="F1034" i="20" s="1"/>
  <c r="D1035" i="20" s="1"/>
  <c r="E1035" i="20" s="1"/>
  <c r="F1035" i="20" s="1"/>
  <c r="D1036" i="20" s="1"/>
  <c r="E1036" i="20" s="1"/>
  <c r="F1036" i="20" s="1"/>
  <c r="D1037" i="20" s="1"/>
  <c r="E1037" i="20" s="1"/>
  <c r="F1037" i="20" s="1"/>
  <c r="D1038" i="20" s="1"/>
  <c r="E1038" i="20" s="1"/>
  <c r="F1038" i="20" s="1"/>
  <c r="D1039" i="20" s="1"/>
  <c r="E1039" i="20" s="1"/>
  <c r="F1039" i="20" s="1"/>
  <c r="D1040" i="20" s="1"/>
  <c r="E1040" i="20" s="1"/>
  <c r="F1040" i="20" s="1"/>
  <c r="D1041" i="20" s="1"/>
  <c r="E1041" i="20" s="1"/>
  <c r="F1041" i="20" s="1"/>
  <c r="D1042" i="20" s="1"/>
  <c r="E1042" i="20" s="1"/>
  <c r="F1042" i="20" s="1"/>
  <c r="D1043" i="20" s="1"/>
  <c r="E1043" i="20" s="1"/>
  <c r="F1043" i="20" s="1"/>
  <c r="D1044" i="20" s="1"/>
  <c r="E1044" i="20" s="1"/>
  <c r="F1044" i="20" s="1"/>
  <c r="D1045" i="20" s="1"/>
  <c r="E1045" i="20" s="1"/>
  <c r="F1045" i="20" s="1"/>
  <c r="D1046" i="20" s="1"/>
  <c r="E1046" i="20" s="1"/>
  <c r="F1046" i="20" s="1"/>
  <c r="D1047" i="20" s="1"/>
  <c r="E1047" i="20" s="1"/>
  <c r="F1047" i="20" s="1"/>
  <c r="D1048" i="20" s="1"/>
  <c r="E1048" i="20" s="1"/>
  <c r="F1048" i="20" s="1"/>
  <c r="D1049" i="20" s="1"/>
  <c r="E1049" i="20" s="1"/>
  <c r="F1049" i="20" s="1"/>
  <c r="D1050" i="20" s="1"/>
  <c r="E1050" i="20" s="1"/>
  <c r="F1050" i="20" s="1"/>
  <c r="D1051" i="20" s="1"/>
  <c r="E1051" i="20" s="1"/>
  <c r="F1051" i="20" s="1"/>
  <c r="D1052" i="20" s="1"/>
  <c r="E1052" i="20" s="1"/>
  <c r="F1052" i="20" s="1"/>
  <c r="D455" i="20"/>
  <c r="I456" i="20" s="1"/>
  <c r="E459" i="20" s="1"/>
  <c r="F459" i="20" s="1"/>
  <c r="D460" i="20" s="1"/>
  <c r="E460" i="20" s="1"/>
  <c r="F460" i="20" s="1"/>
  <c r="D461" i="20" s="1"/>
  <c r="E461" i="20" s="1"/>
  <c r="F461" i="20" s="1"/>
  <c r="D462" i="20" s="1"/>
  <c r="E462" i="20" s="1"/>
  <c r="F462" i="20" s="1"/>
  <c r="D463" i="20" s="1"/>
  <c r="E463" i="20" s="1"/>
  <c r="F463" i="20" s="1"/>
  <c r="D464" i="20" s="1"/>
  <c r="E464" i="20" s="1"/>
  <c r="F464" i="20" s="1"/>
  <c r="D465" i="20" s="1"/>
  <c r="E465" i="20" s="1"/>
  <c r="F465" i="20" s="1"/>
  <c r="D466" i="20" s="1"/>
  <c r="E466" i="20" s="1"/>
  <c r="F466" i="20" s="1"/>
  <c r="D467" i="20" s="1"/>
  <c r="E467" i="20" s="1"/>
  <c r="F467" i="20" s="1"/>
  <c r="D468" i="20" s="1"/>
  <c r="E468" i="20" s="1"/>
  <c r="F468" i="20" s="1"/>
  <c r="D469" i="20" s="1"/>
  <c r="E469" i="20" s="1"/>
  <c r="F469" i="20" s="1"/>
  <c r="D470" i="20" s="1"/>
  <c r="E470" i="20" s="1"/>
  <c r="F470" i="20" s="1"/>
  <c r="D471" i="20" s="1"/>
  <c r="E471" i="20" s="1"/>
  <c r="F471" i="20" s="1"/>
  <c r="D472" i="20" s="1"/>
  <c r="E472" i="20" s="1"/>
  <c r="F472" i="20" s="1"/>
  <c r="D473" i="20" s="1"/>
  <c r="E473" i="20" s="1"/>
  <c r="F473" i="20" s="1"/>
  <c r="D474" i="20" s="1"/>
  <c r="E474" i="20" s="1"/>
  <c r="F474" i="20" s="1"/>
  <c r="D475" i="20" s="1"/>
  <c r="E475" i="20" s="1"/>
  <c r="F475" i="20" s="1"/>
  <c r="D476" i="20" s="1"/>
  <c r="E476" i="20" s="1"/>
  <c r="F476" i="20" s="1"/>
  <c r="D477" i="20" s="1"/>
  <c r="E477" i="20" s="1"/>
  <c r="F477" i="20" s="1"/>
  <c r="D478" i="20" s="1"/>
  <c r="E478" i="20" s="1"/>
  <c r="F478" i="20" s="1"/>
  <c r="D479" i="20" s="1"/>
  <c r="E479" i="20" s="1"/>
  <c r="F479" i="20" s="1"/>
  <c r="D480" i="20" s="1"/>
  <c r="E480" i="20" s="1"/>
  <c r="F480" i="20" s="1"/>
  <c r="D481" i="20" s="1"/>
  <c r="E481" i="20" s="1"/>
  <c r="F481" i="20" s="1"/>
  <c r="D482" i="20" s="1"/>
  <c r="E482" i="20" s="1"/>
  <c r="F482" i="20" s="1"/>
  <c r="D483" i="20" s="1"/>
  <c r="E483" i="20" s="1"/>
  <c r="F483" i="20" s="1"/>
  <c r="D484" i="20" s="1"/>
  <c r="E484" i="20" s="1"/>
  <c r="F484" i="20" s="1"/>
  <c r="D485" i="20" s="1"/>
  <c r="E485" i="20" s="1"/>
  <c r="F485" i="20" s="1"/>
  <c r="D486" i="20" s="1"/>
  <c r="E486" i="20" s="1"/>
  <c r="F486" i="20" s="1"/>
  <c r="D487" i="20" s="1"/>
  <c r="E487" i="20" s="1"/>
  <c r="F487" i="20" s="1"/>
  <c r="D488" i="20" s="1"/>
  <c r="E488" i="20" s="1"/>
  <c r="F488" i="20" s="1"/>
  <c r="D489" i="20" s="1"/>
  <c r="E489" i="20" s="1"/>
  <c r="F489" i="20" s="1"/>
  <c r="D490" i="20" s="1"/>
  <c r="E490" i="20" s="1"/>
  <c r="F490" i="20" s="1"/>
  <c r="D491" i="20" s="1"/>
  <c r="E491" i="20" s="1"/>
  <c r="F491" i="20" s="1"/>
  <c r="D492" i="20" s="1"/>
  <c r="E492" i="20" s="1"/>
  <c r="F492" i="20" s="1"/>
  <c r="D493" i="20" s="1"/>
  <c r="E493" i="20" s="1"/>
  <c r="F493" i="20" s="1"/>
  <c r="D494" i="20" s="1"/>
  <c r="E494" i="20" s="1"/>
  <c r="F494" i="20" s="1"/>
  <c r="D495" i="20" s="1"/>
  <c r="E495" i="20" s="1"/>
  <c r="F495" i="20" s="1"/>
  <c r="D496" i="20" s="1"/>
  <c r="E496" i="20" s="1"/>
  <c r="F496" i="20" s="1"/>
  <c r="D497" i="20" s="1"/>
  <c r="E497" i="20" s="1"/>
  <c r="F497" i="20" s="1"/>
  <c r="D498" i="20" s="1"/>
  <c r="E498" i="20" s="1"/>
  <c r="F498" i="20" s="1"/>
  <c r="D499" i="20" s="1"/>
  <c r="E499" i="20" s="1"/>
  <c r="F499" i="20" s="1"/>
  <c r="D500" i="20" s="1"/>
  <c r="E500" i="20" s="1"/>
  <c r="F500" i="20" s="1"/>
  <c r="D501" i="20" s="1"/>
  <c r="E501" i="20" s="1"/>
  <c r="F501" i="20" s="1"/>
  <c r="D502" i="20" s="1"/>
  <c r="E502" i="20" s="1"/>
  <c r="F502" i="20" s="1"/>
  <c r="D503" i="20" s="1"/>
  <c r="E503" i="20" s="1"/>
  <c r="F503" i="20" s="1"/>
  <c r="D504" i="20" s="1"/>
  <c r="E504" i="20" s="1"/>
  <c r="F504" i="20" s="1"/>
  <c r="D505" i="20" s="1"/>
  <c r="E505" i="20" s="1"/>
  <c r="F505" i="20" s="1"/>
  <c r="D506" i="20" s="1"/>
  <c r="E506" i="20" s="1"/>
  <c r="F506" i="20" s="1"/>
  <c r="D507" i="20" s="1"/>
  <c r="E507" i="20" s="1"/>
  <c r="F507" i="20" s="1"/>
  <c r="D508" i="20" s="1"/>
  <c r="E508" i="20" s="1"/>
  <c r="F508" i="20" s="1"/>
  <c r="D509" i="20" s="1"/>
  <c r="E509" i="20" s="1"/>
  <c r="F509" i="20" s="1"/>
  <c r="D510" i="20" s="1"/>
  <c r="E510" i="20" s="1"/>
  <c r="F510" i="20" s="1"/>
  <c r="D511" i="20" s="1"/>
  <c r="E511" i="20" s="1"/>
  <c r="F511" i="20" s="1"/>
  <c r="D512" i="20" s="1"/>
  <c r="E512" i="20" s="1"/>
  <c r="F512" i="20" s="1"/>
  <c r="D513" i="20" s="1"/>
  <c r="E513" i="20" s="1"/>
  <c r="F513" i="20" s="1"/>
  <c r="D514" i="20" s="1"/>
  <c r="E514" i="20" s="1"/>
  <c r="F514" i="20" s="1"/>
  <c r="D515" i="20" s="1"/>
  <c r="E515" i="20" s="1"/>
  <c r="F515" i="20" s="1"/>
  <c r="D516" i="20" s="1"/>
  <c r="E516" i="20" s="1"/>
  <c r="F516" i="20" s="1"/>
  <c r="D517" i="20" s="1"/>
  <c r="E517" i="20" s="1"/>
  <c r="F517" i="20" s="1"/>
  <c r="D518" i="20" s="1"/>
  <c r="E518" i="20" s="1"/>
  <c r="F518" i="20" s="1"/>
  <c r="D186" i="20"/>
  <c r="I187" i="20" s="1"/>
  <c r="E190" i="20" s="1"/>
  <c r="F190" i="20" s="1"/>
  <c r="D191" i="20" s="1"/>
  <c r="E191" i="20" s="1"/>
  <c r="F191" i="20" s="1"/>
  <c r="D192" i="20" s="1"/>
  <c r="E192" i="20" s="1"/>
  <c r="F192" i="20" s="1"/>
  <c r="D193" i="20" s="1"/>
  <c r="E193" i="20" s="1"/>
  <c r="F193" i="20" s="1"/>
  <c r="D194" i="20" s="1"/>
  <c r="E194" i="20" s="1"/>
  <c r="F194" i="20" s="1"/>
  <c r="D195" i="20" s="1"/>
  <c r="E195" i="20" s="1"/>
  <c r="F195" i="20" s="1"/>
  <c r="D196" i="20" s="1"/>
  <c r="E196" i="20" s="1"/>
  <c r="F196" i="20" s="1"/>
  <c r="D197" i="20" s="1"/>
  <c r="E197" i="20" s="1"/>
  <c r="F197" i="20" s="1"/>
  <c r="D198" i="20" s="1"/>
  <c r="E198" i="20" s="1"/>
  <c r="F198" i="20" s="1"/>
  <c r="D199" i="20" s="1"/>
  <c r="E199" i="20" s="1"/>
  <c r="F199" i="20" s="1"/>
  <c r="D200" i="20" s="1"/>
  <c r="E200" i="20" s="1"/>
  <c r="F200" i="20" s="1"/>
  <c r="D201" i="20" s="1"/>
  <c r="E201" i="20" s="1"/>
  <c r="F201" i="20" s="1"/>
  <c r="D202" i="20" s="1"/>
  <c r="E202" i="20" s="1"/>
  <c r="F202" i="20" s="1"/>
  <c r="D203" i="20" s="1"/>
  <c r="E203" i="20" s="1"/>
  <c r="F203" i="20" s="1"/>
  <c r="D204" i="20" s="1"/>
  <c r="E204" i="20" s="1"/>
  <c r="F204" i="20" s="1"/>
  <c r="D205" i="20" s="1"/>
  <c r="E205" i="20" s="1"/>
  <c r="F205" i="20" s="1"/>
  <c r="D206" i="20" s="1"/>
  <c r="E206" i="20" s="1"/>
  <c r="F206" i="20" s="1"/>
  <c r="D207" i="20" s="1"/>
  <c r="E207" i="20" s="1"/>
  <c r="F207" i="20" s="1"/>
  <c r="D208" i="20" s="1"/>
  <c r="E208" i="20" s="1"/>
  <c r="F208" i="20" s="1"/>
  <c r="D209" i="20" s="1"/>
  <c r="E209" i="20" s="1"/>
  <c r="F209" i="20" s="1"/>
  <c r="D210" i="20" s="1"/>
  <c r="E210" i="20" s="1"/>
  <c r="F210" i="20" s="1"/>
  <c r="D211" i="20" s="1"/>
  <c r="E211" i="20" s="1"/>
  <c r="F211" i="20" s="1"/>
  <c r="D212" i="20" s="1"/>
  <c r="E212" i="20" s="1"/>
  <c r="F212" i="20" s="1"/>
  <c r="D213" i="20" s="1"/>
  <c r="E213" i="20" s="1"/>
  <c r="F213" i="20" s="1"/>
  <c r="D214" i="20" s="1"/>
  <c r="E214" i="20" s="1"/>
  <c r="F214" i="20" s="1"/>
  <c r="D215" i="20" s="1"/>
  <c r="E215" i="20" s="1"/>
  <c r="F215" i="20" s="1"/>
  <c r="D216" i="20" s="1"/>
  <c r="E216" i="20" s="1"/>
  <c r="F216" i="20" s="1"/>
  <c r="D217" i="20" s="1"/>
  <c r="E217" i="20" s="1"/>
  <c r="F217" i="20" s="1"/>
  <c r="D218" i="20" s="1"/>
  <c r="E218" i="20" s="1"/>
  <c r="F218" i="20" s="1"/>
  <c r="D219" i="20" s="1"/>
  <c r="E219" i="20" s="1"/>
  <c r="F219" i="20" s="1"/>
  <c r="D220" i="20" s="1"/>
  <c r="E220" i="20" s="1"/>
  <c r="F220" i="20" s="1"/>
  <c r="D221" i="20" s="1"/>
  <c r="E221" i="20" s="1"/>
  <c r="F221" i="20" s="1"/>
  <c r="D222" i="20" s="1"/>
  <c r="E222" i="20" s="1"/>
  <c r="F222" i="20" s="1"/>
  <c r="D223" i="20" s="1"/>
  <c r="E223" i="20" s="1"/>
  <c r="F223" i="20" s="1"/>
  <c r="D224" i="20" s="1"/>
  <c r="E224" i="20" s="1"/>
  <c r="F224" i="20" s="1"/>
  <c r="D225" i="20" s="1"/>
  <c r="E225" i="20" s="1"/>
  <c r="F225" i="20" s="1"/>
  <c r="D226" i="20" s="1"/>
  <c r="E226" i="20" s="1"/>
  <c r="F226" i="20" s="1"/>
  <c r="D227" i="20" s="1"/>
  <c r="E227" i="20" s="1"/>
  <c r="F227" i="20" s="1"/>
  <c r="D228" i="20" s="1"/>
  <c r="E228" i="20" s="1"/>
  <c r="F228" i="20" s="1"/>
  <c r="D229" i="20" s="1"/>
  <c r="E229" i="20" s="1"/>
  <c r="F229" i="20" s="1"/>
  <c r="D230" i="20" s="1"/>
  <c r="E230" i="20" s="1"/>
  <c r="F230" i="20" s="1"/>
  <c r="D231" i="20" s="1"/>
  <c r="E231" i="20" s="1"/>
  <c r="F231" i="20" s="1"/>
  <c r="D232" i="20" s="1"/>
  <c r="E232" i="20" s="1"/>
  <c r="F232" i="20" s="1"/>
  <c r="D233" i="20" s="1"/>
  <c r="E233" i="20" s="1"/>
  <c r="F233" i="20" s="1"/>
  <c r="D234" i="20" s="1"/>
  <c r="E234" i="20" s="1"/>
  <c r="F234" i="20" s="1"/>
  <c r="D235" i="20" s="1"/>
  <c r="E235" i="20" s="1"/>
  <c r="F235" i="20" s="1"/>
  <c r="D236" i="20" s="1"/>
  <c r="E236" i="20" s="1"/>
  <c r="F236" i="20" s="1"/>
  <c r="D237" i="20" s="1"/>
  <c r="E237" i="20" s="1"/>
  <c r="F237" i="20" s="1"/>
  <c r="D238" i="20" s="1"/>
  <c r="E238" i="20" s="1"/>
  <c r="F238" i="20" s="1"/>
  <c r="D239" i="20" s="1"/>
  <c r="E239" i="20" s="1"/>
  <c r="F239" i="20" s="1"/>
  <c r="D240" i="20" s="1"/>
  <c r="E240" i="20" s="1"/>
  <c r="F240" i="20" s="1"/>
  <c r="D241" i="20" s="1"/>
  <c r="E241" i="20" s="1"/>
  <c r="F241" i="20" s="1"/>
  <c r="D242" i="20" s="1"/>
  <c r="E242" i="20" s="1"/>
  <c r="F242" i="20" s="1"/>
  <c r="D243" i="20" s="1"/>
  <c r="E243" i="20" s="1"/>
  <c r="F243" i="20" s="1"/>
  <c r="D244" i="20" s="1"/>
  <c r="E244" i="20" s="1"/>
  <c r="F244" i="20" s="1"/>
  <c r="D245" i="20" s="1"/>
  <c r="E245" i="20" s="1"/>
  <c r="F245" i="20" s="1"/>
  <c r="D246" i="20" s="1"/>
  <c r="E246" i="20" s="1"/>
  <c r="F246" i="20" s="1"/>
  <c r="D247" i="20" s="1"/>
  <c r="E247" i="20" s="1"/>
  <c r="F247" i="20" s="1"/>
  <c r="D248" i="20" s="1"/>
  <c r="E248" i="20" s="1"/>
  <c r="F248" i="20" s="1"/>
  <c r="D249" i="20" s="1"/>
  <c r="E249" i="20" s="1"/>
  <c r="F249" i="20" s="1"/>
  <c r="D722" i="20"/>
  <c r="I723" i="20" s="1"/>
  <c r="E726" i="20" s="1"/>
  <c r="F726" i="20" s="1"/>
  <c r="D727" i="20" s="1"/>
  <c r="E727" i="20" s="1"/>
  <c r="F727" i="20" s="1"/>
  <c r="D728" i="20" s="1"/>
  <c r="E728" i="20" s="1"/>
  <c r="F728" i="20" s="1"/>
  <c r="D729" i="20" s="1"/>
  <c r="E729" i="20" s="1"/>
  <c r="F729" i="20" s="1"/>
  <c r="D730" i="20" s="1"/>
  <c r="E730" i="20" s="1"/>
  <c r="F730" i="20" s="1"/>
  <c r="D731" i="20" s="1"/>
  <c r="E731" i="20" s="1"/>
  <c r="F731" i="20" s="1"/>
  <c r="D732" i="20" s="1"/>
  <c r="E732" i="20" s="1"/>
  <c r="F732" i="20" s="1"/>
  <c r="D733" i="20" s="1"/>
  <c r="E733" i="20" s="1"/>
  <c r="F733" i="20" s="1"/>
  <c r="D734" i="20" s="1"/>
  <c r="E734" i="20" s="1"/>
  <c r="F734" i="20" s="1"/>
  <c r="D735" i="20" s="1"/>
  <c r="E735" i="20" s="1"/>
  <c r="F735" i="20" s="1"/>
  <c r="D736" i="20" s="1"/>
  <c r="E736" i="20" s="1"/>
  <c r="F736" i="20" s="1"/>
  <c r="D737" i="20" s="1"/>
  <c r="E737" i="20" s="1"/>
  <c r="F737" i="20" s="1"/>
  <c r="D738" i="20" s="1"/>
  <c r="E738" i="20" s="1"/>
  <c r="F738" i="20" s="1"/>
  <c r="D739" i="20" s="1"/>
  <c r="E739" i="20" s="1"/>
  <c r="F739" i="20" s="1"/>
  <c r="D740" i="20" s="1"/>
  <c r="E740" i="20" s="1"/>
  <c r="F740" i="20" s="1"/>
  <c r="D741" i="20" s="1"/>
  <c r="E741" i="20" s="1"/>
  <c r="F741" i="20" s="1"/>
  <c r="D742" i="20" s="1"/>
  <c r="E742" i="20" s="1"/>
  <c r="F742" i="20" s="1"/>
  <c r="D743" i="20" s="1"/>
  <c r="E743" i="20" s="1"/>
  <c r="F743" i="20" s="1"/>
  <c r="D744" i="20" s="1"/>
  <c r="E744" i="20" s="1"/>
  <c r="F744" i="20" s="1"/>
  <c r="D745" i="20" s="1"/>
  <c r="E745" i="20" s="1"/>
  <c r="F745" i="20" s="1"/>
  <c r="D746" i="20" s="1"/>
  <c r="E746" i="20" s="1"/>
  <c r="F746" i="20" s="1"/>
  <c r="D747" i="20" s="1"/>
  <c r="E747" i="20" s="1"/>
  <c r="F747" i="20" s="1"/>
  <c r="D748" i="20" s="1"/>
  <c r="E748" i="20" s="1"/>
  <c r="F748" i="20" s="1"/>
  <c r="D749" i="20" s="1"/>
  <c r="E749" i="20" s="1"/>
  <c r="F749" i="20" s="1"/>
  <c r="D750" i="20" s="1"/>
  <c r="E750" i="20" s="1"/>
  <c r="F750" i="20" s="1"/>
  <c r="D751" i="20" s="1"/>
  <c r="E751" i="20" s="1"/>
  <c r="F751" i="20" s="1"/>
  <c r="D752" i="20" s="1"/>
  <c r="E752" i="20" s="1"/>
  <c r="F752" i="20" s="1"/>
  <c r="D753" i="20" s="1"/>
  <c r="E753" i="20" s="1"/>
  <c r="F753" i="20" s="1"/>
  <c r="D754" i="20" s="1"/>
  <c r="E754" i="20" s="1"/>
  <c r="F754" i="20" s="1"/>
  <c r="D755" i="20" s="1"/>
  <c r="E755" i="20" s="1"/>
  <c r="F755" i="20" s="1"/>
  <c r="D756" i="20" s="1"/>
  <c r="E756" i="20" s="1"/>
  <c r="F756" i="20" s="1"/>
  <c r="D757" i="20" s="1"/>
  <c r="E757" i="20" s="1"/>
  <c r="F757" i="20" s="1"/>
  <c r="D758" i="20" s="1"/>
  <c r="E758" i="20" s="1"/>
  <c r="F758" i="20" s="1"/>
  <c r="D759" i="20" s="1"/>
  <c r="E759" i="20" s="1"/>
  <c r="F759" i="20" s="1"/>
  <c r="D760" i="20" s="1"/>
  <c r="E760" i="20" s="1"/>
  <c r="F760" i="20" s="1"/>
  <c r="D761" i="20" s="1"/>
  <c r="E761" i="20" s="1"/>
  <c r="F761" i="20" s="1"/>
  <c r="D762" i="20" s="1"/>
  <c r="E762" i="20" s="1"/>
  <c r="F762" i="20" s="1"/>
  <c r="D763" i="20" s="1"/>
  <c r="E763" i="20" s="1"/>
  <c r="F763" i="20" s="1"/>
  <c r="D764" i="20" s="1"/>
  <c r="E764" i="20" s="1"/>
  <c r="F764" i="20" s="1"/>
  <c r="D765" i="20" s="1"/>
  <c r="E765" i="20" s="1"/>
  <c r="F765" i="20" s="1"/>
  <c r="D766" i="20" s="1"/>
  <c r="E766" i="20" s="1"/>
  <c r="F766" i="20" s="1"/>
  <c r="D767" i="20" s="1"/>
  <c r="E767" i="20" s="1"/>
  <c r="F767" i="20" s="1"/>
  <c r="D768" i="20" s="1"/>
  <c r="E768" i="20" s="1"/>
  <c r="F768" i="20" s="1"/>
  <c r="D769" i="20" s="1"/>
  <c r="E769" i="20" s="1"/>
  <c r="F769" i="20" s="1"/>
  <c r="D770" i="20" s="1"/>
  <c r="E770" i="20" s="1"/>
  <c r="F770" i="20" s="1"/>
  <c r="D771" i="20" s="1"/>
  <c r="E771" i="20" s="1"/>
  <c r="F771" i="20" s="1"/>
  <c r="D772" i="20" s="1"/>
  <c r="E772" i="20" s="1"/>
  <c r="F772" i="20" s="1"/>
  <c r="D773" i="20" s="1"/>
  <c r="E773" i="20" s="1"/>
  <c r="F773" i="20" s="1"/>
  <c r="D774" i="20" s="1"/>
  <c r="E774" i="20" s="1"/>
  <c r="F774" i="20" s="1"/>
  <c r="D775" i="20" s="1"/>
  <c r="E775" i="20" s="1"/>
  <c r="F775" i="20" s="1"/>
  <c r="D776" i="20" s="1"/>
  <c r="E776" i="20" s="1"/>
  <c r="F776" i="20" s="1"/>
  <c r="D777" i="20" s="1"/>
  <c r="E777" i="20" s="1"/>
  <c r="F777" i="20" s="1"/>
  <c r="D778" i="20" s="1"/>
  <c r="E778" i="20" s="1"/>
  <c r="F778" i="20" s="1"/>
  <c r="D779" i="20" s="1"/>
  <c r="E779" i="20" s="1"/>
  <c r="F779" i="20" s="1"/>
  <c r="D780" i="20" s="1"/>
  <c r="E780" i="20" s="1"/>
  <c r="F780" i="20" s="1"/>
  <c r="D781" i="20" s="1"/>
  <c r="E781" i="20" s="1"/>
  <c r="F781" i="20" s="1"/>
  <c r="D782" i="20" s="1"/>
  <c r="E782" i="20" s="1"/>
  <c r="F782" i="20" s="1"/>
  <c r="D783" i="20" s="1"/>
  <c r="E783" i="20" s="1"/>
  <c r="F783" i="20" s="1"/>
  <c r="D784" i="20" s="1"/>
  <c r="E784" i="20" s="1"/>
  <c r="F784" i="20" s="1"/>
  <c r="D785" i="20" s="1"/>
  <c r="E785" i="20" s="1"/>
  <c r="F785" i="20" s="1"/>
  <c r="D900" i="20"/>
  <c r="I901" i="20" s="1"/>
  <c r="E904" i="20" s="1"/>
  <c r="F904" i="20" s="1"/>
  <c r="D905" i="20" s="1"/>
  <c r="E905" i="20" s="1"/>
  <c r="F905" i="20" s="1"/>
  <c r="D906" i="20" s="1"/>
  <c r="E906" i="20" s="1"/>
  <c r="F906" i="20" s="1"/>
  <c r="D907" i="20" s="1"/>
  <c r="E907" i="20" s="1"/>
  <c r="F907" i="20" s="1"/>
  <c r="D908" i="20" s="1"/>
  <c r="E908" i="20" s="1"/>
  <c r="F908" i="20" s="1"/>
  <c r="D909" i="20" s="1"/>
  <c r="E909" i="20" s="1"/>
  <c r="F909" i="20" s="1"/>
  <c r="D910" i="20" s="1"/>
  <c r="E910" i="20" s="1"/>
  <c r="F910" i="20" s="1"/>
  <c r="D911" i="20" s="1"/>
  <c r="E911" i="20" s="1"/>
  <c r="F911" i="20" s="1"/>
  <c r="D912" i="20" s="1"/>
  <c r="E912" i="20" s="1"/>
  <c r="F912" i="20" s="1"/>
  <c r="D913" i="20" s="1"/>
  <c r="E913" i="20" s="1"/>
  <c r="F913" i="20" s="1"/>
  <c r="D914" i="20" s="1"/>
  <c r="E914" i="20" s="1"/>
  <c r="F914" i="20" s="1"/>
  <c r="D915" i="20" s="1"/>
  <c r="E915" i="20" s="1"/>
  <c r="F915" i="20" s="1"/>
  <c r="D916" i="20" s="1"/>
  <c r="E916" i="20" s="1"/>
  <c r="F916" i="20" s="1"/>
  <c r="D917" i="20" s="1"/>
  <c r="E917" i="20" s="1"/>
  <c r="F917" i="20" s="1"/>
  <c r="D918" i="20" s="1"/>
  <c r="E918" i="20" s="1"/>
  <c r="F918" i="20" s="1"/>
  <c r="D919" i="20" s="1"/>
  <c r="E919" i="20" s="1"/>
  <c r="F919" i="20" s="1"/>
  <c r="D920" i="20" s="1"/>
  <c r="E920" i="20" s="1"/>
  <c r="F920" i="20" s="1"/>
  <c r="D921" i="20" s="1"/>
  <c r="E921" i="20" s="1"/>
  <c r="F921" i="20" s="1"/>
  <c r="D922" i="20" s="1"/>
  <c r="E922" i="20" s="1"/>
  <c r="F922" i="20" s="1"/>
  <c r="D923" i="20" s="1"/>
  <c r="E923" i="20" s="1"/>
  <c r="F923" i="20" s="1"/>
  <c r="D924" i="20" s="1"/>
  <c r="E924" i="20" s="1"/>
  <c r="F924" i="20" s="1"/>
  <c r="D925" i="20" s="1"/>
  <c r="E925" i="20" s="1"/>
  <c r="F925" i="20" s="1"/>
  <c r="D926" i="20" s="1"/>
  <c r="E926" i="20" s="1"/>
  <c r="F926" i="20" s="1"/>
  <c r="D927" i="20" s="1"/>
  <c r="E927" i="20" s="1"/>
  <c r="F927" i="20" s="1"/>
  <c r="D928" i="20" s="1"/>
  <c r="E928" i="20" s="1"/>
  <c r="F928" i="20" s="1"/>
  <c r="D929" i="20" s="1"/>
  <c r="E929" i="20" s="1"/>
  <c r="F929" i="20" s="1"/>
  <c r="D930" i="20" s="1"/>
  <c r="E930" i="20" s="1"/>
  <c r="F930" i="20" s="1"/>
  <c r="D931" i="20" s="1"/>
  <c r="E931" i="20" s="1"/>
  <c r="F931" i="20" s="1"/>
  <c r="D932" i="20" s="1"/>
  <c r="E932" i="20" s="1"/>
  <c r="F932" i="20" s="1"/>
  <c r="D933" i="20" s="1"/>
  <c r="E933" i="20" s="1"/>
  <c r="F933" i="20" s="1"/>
  <c r="D934" i="20" s="1"/>
  <c r="E934" i="20" s="1"/>
  <c r="F934" i="20" s="1"/>
  <c r="D935" i="20" s="1"/>
  <c r="E935" i="20" s="1"/>
  <c r="F935" i="20" s="1"/>
  <c r="D936" i="20" s="1"/>
  <c r="E936" i="20" s="1"/>
  <c r="F936" i="20" s="1"/>
  <c r="D937" i="20" s="1"/>
  <c r="E937" i="20" s="1"/>
  <c r="F937" i="20" s="1"/>
  <c r="D938" i="20" s="1"/>
  <c r="E938" i="20" s="1"/>
  <c r="F938" i="20" s="1"/>
  <c r="D939" i="20" s="1"/>
  <c r="E939" i="20" s="1"/>
  <c r="F939" i="20" s="1"/>
  <c r="D940" i="20" s="1"/>
  <c r="E940" i="20" s="1"/>
  <c r="F940" i="20" s="1"/>
  <c r="D941" i="20" s="1"/>
  <c r="E941" i="20" s="1"/>
  <c r="F941" i="20" s="1"/>
  <c r="D942" i="20" s="1"/>
  <c r="E942" i="20" s="1"/>
  <c r="F942" i="20" s="1"/>
  <c r="D943" i="20" s="1"/>
  <c r="E943" i="20" s="1"/>
  <c r="F943" i="20" s="1"/>
  <c r="D944" i="20" s="1"/>
  <c r="E944" i="20" s="1"/>
  <c r="F944" i="20" s="1"/>
  <c r="D945" i="20" s="1"/>
  <c r="E945" i="20" s="1"/>
  <c r="F945" i="20" s="1"/>
  <c r="D946" i="20" s="1"/>
  <c r="E946" i="20" s="1"/>
  <c r="F946" i="20" s="1"/>
  <c r="D947" i="20" s="1"/>
  <c r="E947" i="20" s="1"/>
  <c r="F947" i="20" s="1"/>
  <c r="D948" i="20" s="1"/>
  <c r="E948" i="20" s="1"/>
  <c r="F948" i="20" s="1"/>
  <c r="D949" i="20" s="1"/>
  <c r="E949" i="20" s="1"/>
  <c r="F949" i="20" s="1"/>
  <c r="D950" i="20" s="1"/>
  <c r="E950" i="20" s="1"/>
  <c r="F950" i="20" s="1"/>
  <c r="D951" i="20" s="1"/>
  <c r="E951" i="20" s="1"/>
  <c r="F951" i="20" s="1"/>
  <c r="D952" i="20" s="1"/>
  <c r="E952" i="20" s="1"/>
  <c r="F952" i="20" s="1"/>
  <c r="D953" i="20" s="1"/>
  <c r="E953" i="20" s="1"/>
  <c r="F953" i="20" s="1"/>
  <c r="D954" i="20" s="1"/>
  <c r="E954" i="20" s="1"/>
  <c r="F954" i="20" s="1"/>
  <c r="D955" i="20" s="1"/>
  <c r="E955" i="20" s="1"/>
  <c r="F955" i="20" s="1"/>
  <c r="D956" i="20" s="1"/>
  <c r="E956" i="20" s="1"/>
  <c r="F956" i="20" s="1"/>
  <c r="D957" i="20" s="1"/>
  <c r="E957" i="20" s="1"/>
  <c r="F957" i="20" s="1"/>
  <c r="D958" i="20" s="1"/>
  <c r="E958" i="20" s="1"/>
  <c r="F958" i="20" s="1"/>
  <c r="D959" i="20" s="1"/>
  <c r="E959" i="20" s="1"/>
  <c r="F959" i="20" s="1"/>
  <c r="D960" i="20" s="1"/>
  <c r="E960" i="20" s="1"/>
  <c r="F960" i="20" s="1"/>
  <c r="D961" i="20" s="1"/>
  <c r="E961" i="20" s="1"/>
  <c r="F961" i="20" s="1"/>
  <c r="D962" i="20" s="1"/>
  <c r="E962" i="20" s="1"/>
  <c r="F962" i="20" s="1"/>
  <c r="D963" i="20" s="1"/>
  <c r="E963" i="20" s="1"/>
  <c r="F963" i="20" s="1"/>
  <c r="D1078" i="20"/>
  <c r="I1079" i="20" s="1"/>
  <c r="E1082" i="20" s="1"/>
  <c r="F1082" i="20" s="1"/>
  <c r="D1083" i="20" s="1"/>
  <c r="E1083" i="20" s="1"/>
  <c r="F1083" i="20" s="1"/>
  <c r="D1084" i="20" s="1"/>
  <c r="E1084" i="20" s="1"/>
  <c r="F1084" i="20" s="1"/>
  <c r="D1085" i="20" s="1"/>
  <c r="E1085" i="20" s="1"/>
  <c r="F1085" i="20" s="1"/>
  <c r="D1086" i="20" s="1"/>
  <c r="E1086" i="20" s="1"/>
  <c r="F1086" i="20" s="1"/>
  <c r="D1087" i="20" s="1"/>
  <c r="E1087" i="20" s="1"/>
  <c r="F1087" i="20" s="1"/>
  <c r="D1088" i="20" s="1"/>
  <c r="E1088" i="20" s="1"/>
  <c r="F1088" i="20" s="1"/>
  <c r="D1089" i="20" s="1"/>
  <c r="E1089" i="20" s="1"/>
  <c r="F1089" i="20" s="1"/>
  <c r="D1090" i="20" s="1"/>
  <c r="E1090" i="20" s="1"/>
  <c r="F1090" i="20" s="1"/>
  <c r="D1091" i="20" s="1"/>
  <c r="E1091" i="20" s="1"/>
  <c r="F1091" i="20" s="1"/>
  <c r="D1092" i="20" s="1"/>
  <c r="E1092" i="20" s="1"/>
  <c r="F1092" i="20" s="1"/>
  <c r="D1093" i="20" s="1"/>
  <c r="E1093" i="20" s="1"/>
  <c r="F1093" i="20" s="1"/>
  <c r="D1094" i="20" s="1"/>
  <c r="E1094" i="20" s="1"/>
  <c r="F1094" i="20" s="1"/>
  <c r="D1095" i="20" s="1"/>
  <c r="E1095" i="20" s="1"/>
  <c r="F1095" i="20" s="1"/>
  <c r="D1096" i="20" s="1"/>
  <c r="E1096" i="20" s="1"/>
  <c r="F1096" i="20" s="1"/>
  <c r="D1097" i="20" s="1"/>
  <c r="E1097" i="20" s="1"/>
  <c r="F1097" i="20" s="1"/>
  <c r="D1098" i="20" s="1"/>
  <c r="E1098" i="20" s="1"/>
  <c r="F1098" i="20" s="1"/>
  <c r="D1099" i="20" s="1"/>
  <c r="E1099" i="20" s="1"/>
  <c r="F1099" i="20" s="1"/>
  <c r="D1100" i="20" s="1"/>
  <c r="E1100" i="20" s="1"/>
  <c r="F1100" i="20" s="1"/>
  <c r="D1101" i="20" s="1"/>
  <c r="E1101" i="20" s="1"/>
  <c r="F1101" i="20" s="1"/>
  <c r="D1102" i="20" s="1"/>
  <c r="E1102" i="20" s="1"/>
  <c r="F1102" i="20" s="1"/>
  <c r="D1103" i="20" s="1"/>
  <c r="E1103" i="20" s="1"/>
  <c r="F1103" i="20" s="1"/>
  <c r="D1104" i="20" s="1"/>
  <c r="E1104" i="20" s="1"/>
  <c r="F1104" i="20" s="1"/>
  <c r="D1105" i="20" s="1"/>
  <c r="E1105" i="20" s="1"/>
  <c r="F1105" i="20" s="1"/>
  <c r="D1106" i="20" s="1"/>
  <c r="E1106" i="20" s="1"/>
  <c r="F1106" i="20" s="1"/>
  <c r="D1107" i="20" s="1"/>
  <c r="E1107" i="20" s="1"/>
  <c r="F1107" i="20" s="1"/>
  <c r="D1108" i="20" s="1"/>
  <c r="E1108" i="20" s="1"/>
  <c r="F1108" i="20" s="1"/>
  <c r="D1109" i="20" s="1"/>
  <c r="E1109" i="20" s="1"/>
  <c r="F1109" i="20" s="1"/>
  <c r="D1110" i="20" s="1"/>
  <c r="E1110" i="20" s="1"/>
  <c r="F1110" i="20" s="1"/>
  <c r="D1111" i="20" s="1"/>
  <c r="E1111" i="20" s="1"/>
  <c r="F1111" i="20" s="1"/>
  <c r="D1112" i="20" s="1"/>
  <c r="E1112" i="20" s="1"/>
  <c r="F1112" i="20" s="1"/>
  <c r="D1113" i="20" s="1"/>
  <c r="E1113" i="20" s="1"/>
  <c r="F1113" i="20" s="1"/>
  <c r="D1114" i="20" s="1"/>
  <c r="E1114" i="20" s="1"/>
  <c r="F1114" i="20" s="1"/>
  <c r="D1115" i="20" s="1"/>
  <c r="E1115" i="20" s="1"/>
  <c r="F1115" i="20" s="1"/>
  <c r="D1116" i="20" s="1"/>
  <c r="E1116" i="20" s="1"/>
  <c r="F1116" i="20" s="1"/>
  <c r="D1117" i="20" s="1"/>
  <c r="E1117" i="20" s="1"/>
  <c r="F1117" i="20" s="1"/>
  <c r="D1118" i="20" s="1"/>
  <c r="E1118" i="20" s="1"/>
  <c r="F1118" i="20" s="1"/>
  <c r="D1119" i="20" s="1"/>
  <c r="E1119" i="20" s="1"/>
  <c r="F1119" i="20" s="1"/>
  <c r="D1120" i="20" s="1"/>
  <c r="E1120" i="20" s="1"/>
  <c r="F1120" i="20" s="1"/>
  <c r="D1121" i="20" s="1"/>
  <c r="E1121" i="20" s="1"/>
  <c r="F1121" i="20" s="1"/>
  <c r="D1122" i="20" s="1"/>
  <c r="E1122" i="20" s="1"/>
  <c r="F1122" i="20" s="1"/>
  <c r="D1123" i="20" s="1"/>
  <c r="E1123" i="20" s="1"/>
  <c r="F1123" i="20" s="1"/>
  <c r="D1124" i="20" s="1"/>
  <c r="E1124" i="20" s="1"/>
  <c r="F1124" i="20" s="1"/>
  <c r="D1125" i="20" s="1"/>
  <c r="E1125" i="20" s="1"/>
  <c r="F1125" i="20" s="1"/>
  <c r="D1126" i="20" s="1"/>
  <c r="E1126" i="20" s="1"/>
  <c r="F1126" i="20" s="1"/>
  <c r="D1127" i="20" s="1"/>
  <c r="E1127" i="20" s="1"/>
  <c r="F1127" i="20" s="1"/>
  <c r="D1128" i="20" s="1"/>
  <c r="E1128" i="20" s="1"/>
  <c r="F1128" i="20" s="1"/>
  <c r="D1129" i="20" s="1"/>
  <c r="E1129" i="20" s="1"/>
  <c r="F1129" i="20" s="1"/>
  <c r="D1130" i="20" s="1"/>
  <c r="E1130" i="20" s="1"/>
  <c r="F1130" i="20" s="1"/>
  <c r="D1131" i="20" s="1"/>
  <c r="E1131" i="20" s="1"/>
  <c r="F1131" i="20" s="1"/>
  <c r="D1132" i="20" s="1"/>
  <c r="E1132" i="20" s="1"/>
  <c r="F1132" i="20" s="1"/>
  <c r="D1133" i="20" s="1"/>
  <c r="E1133" i="20" s="1"/>
  <c r="F1133" i="20" s="1"/>
  <c r="D1134" i="20" s="1"/>
  <c r="E1134" i="20" s="1"/>
  <c r="F1134" i="20" s="1"/>
  <c r="D1135" i="20" s="1"/>
  <c r="E1135" i="20" s="1"/>
  <c r="F1135" i="20" s="1"/>
  <c r="D1136" i="20" s="1"/>
  <c r="E1136" i="20" s="1"/>
  <c r="F1136" i="20" s="1"/>
  <c r="D1137" i="20" s="1"/>
  <c r="E1137" i="20" s="1"/>
  <c r="F1137" i="20" s="1"/>
  <c r="D1138" i="20" s="1"/>
  <c r="E1138" i="20" s="1"/>
  <c r="F1138" i="20" s="1"/>
  <c r="D1139" i="20" s="1"/>
  <c r="E1139" i="20" s="1"/>
  <c r="F1139" i="20" s="1"/>
  <c r="D1140" i="20" s="1"/>
  <c r="E1140" i="20" s="1"/>
  <c r="F1140" i="20" s="1"/>
  <c r="D1141" i="20" s="1"/>
  <c r="E1141" i="20" s="1"/>
  <c r="F1141" i="20" s="1"/>
  <c r="D1612" i="20"/>
  <c r="I1613" i="20" s="1"/>
  <c r="E1616" i="20" s="1"/>
  <c r="F1616" i="20" s="1"/>
  <c r="D1617" i="20" s="1"/>
  <c r="E1617" i="20" s="1"/>
  <c r="F1617" i="20" s="1"/>
  <c r="D1618" i="20" s="1"/>
  <c r="E1618" i="20" s="1"/>
  <c r="F1618" i="20" s="1"/>
  <c r="D1619" i="20" s="1"/>
  <c r="E1619" i="20" s="1"/>
  <c r="F1619" i="20" s="1"/>
  <c r="D1620" i="20" s="1"/>
  <c r="E1620" i="20" s="1"/>
  <c r="F1620" i="20" s="1"/>
  <c r="D1621" i="20" s="1"/>
  <c r="E1621" i="20" s="1"/>
  <c r="F1621" i="20" s="1"/>
  <c r="D1622" i="20" s="1"/>
  <c r="E1622" i="20" s="1"/>
  <c r="F1622" i="20" s="1"/>
  <c r="D1623" i="20" s="1"/>
  <c r="E1623" i="20" s="1"/>
  <c r="F1623" i="20" s="1"/>
  <c r="D1624" i="20" s="1"/>
  <c r="E1624" i="20" s="1"/>
  <c r="F1624" i="20" s="1"/>
  <c r="D1625" i="20" s="1"/>
  <c r="E1625" i="20" s="1"/>
  <c r="F1625" i="20" s="1"/>
  <c r="D1626" i="20" s="1"/>
  <c r="E1626" i="20" s="1"/>
  <c r="F1626" i="20" s="1"/>
  <c r="D1627" i="20" s="1"/>
  <c r="E1627" i="20" s="1"/>
  <c r="F1627" i="20" s="1"/>
  <c r="D1628" i="20" s="1"/>
  <c r="E1628" i="20" s="1"/>
  <c r="F1628" i="20" s="1"/>
  <c r="D1629" i="20" s="1"/>
  <c r="E1629" i="20" s="1"/>
  <c r="F1629" i="20" s="1"/>
  <c r="D1630" i="20" s="1"/>
  <c r="E1630" i="20" s="1"/>
  <c r="F1630" i="20" s="1"/>
  <c r="D1631" i="20" s="1"/>
  <c r="E1631" i="20" s="1"/>
  <c r="F1631" i="20" s="1"/>
  <c r="D1632" i="20" s="1"/>
  <c r="E1632" i="20" s="1"/>
  <c r="F1632" i="20" s="1"/>
  <c r="D1633" i="20" s="1"/>
  <c r="E1633" i="20" s="1"/>
  <c r="F1633" i="20" s="1"/>
  <c r="D1634" i="20" s="1"/>
  <c r="E1634" i="20" s="1"/>
  <c r="F1634" i="20" s="1"/>
  <c r="D1635" i="20" s="1"/>
  <c r="E1635" i="20" s="1"/>
  <c r="F1635" i="20" s="1"/>
  <c r="D1636" i="20" s="1"/>
  <c r="E1636" i="20" s="1"/>
  <c r="F1636" i="20" s="1"/>
  <c r="D1637" i="20" s="1"/>
  <c r="E1637" i="20" s="1"/>
  <c r="F1637" i="20" s="1"/>
  <c r="D1638" i="20" s="1"/>
  <c r="E1638" i="20" s="1"/>
  <c r="F1638" i="20" s="1"/>
  <c r="D1639" i="20" s="1"/>
  <c r="E1639" i="20" s="1"/>
  <c r="F1639" i="20" s="1"/>
  <c r="D1640" i="20" s="1"/>
  <c r="E1640" i="20" s="1"/>
  <c r="F1640" i="20" s="1"/>
  <c r="D1641" i="20" s="1"/>
  <c r="E1641" i="20" s="1"/>
  <c r="F1641" i="20" s="1"/>
  <c r="D1642" i="20" s="1"/>
  <c r="E1642" i="20" s="1"/>
  <c r="F1642" i="20" s="1"/>
  <c r="D1643" i="20" s="1"/>
  <c r="E1643" i="20" s="1"/>
  <c r="F1643" i="20" s="1"/>
  <c r="D1644" i="20" s="1"/>
  <c r="E1644" i="20" s="1"/>
  <c r="F1644" i="20" s="1"/>
  <c r="D1645" i="20" s="1"/>
  <c r="E1645" i="20" s="1"/>
  <c r="F1645" i="20" s="1"/>
  <c r="D1646" i="20" s="1"/>
  <c r="E1646" i="20" s="1"/>
  <c r="F1646" i="20" s="1"/>
  <c r="D1647" i="20" s="1"/>
  <c r="E1647" i="20" s="1"/>
  <c r="F1647" i="20" s="1"/>
  <c r="D1648" i="20" s="1"/>
  <c r="E1648" i="20" s="1"/>
  <c r="F1648" i="20" s="1"/>
  <c r="D1649" i="20" s="1"/>
  <c r="E1649" i="20" s="1"/>
  <c r="F1649" i="20" s="1"/>
  <c r="D1650" i="20" s="1"/>
  <c r="E1650" i="20" s="1"/>
  <c r="F1650" i="20" s="1"/>
  <c r="D1651" i="20" s="1"/>
  <c r="E1651" i="20" s="1"/>
  <c r="F1651" i="20" s="1"/>
  <c r="D1652" i="20" s="1"/>
  <c r="E1652" i="20" s="1"/>
  <c r="F1652" i="20" s="1"/>
  <c r="D1653" i="20" s="1"/>
  <c r="E1653" i="20" s="1"/>
  <c r="F1653" i="20" s="1"/>
  <c r="D1654" i="20" s="1"/>
  <c r="E1654" i="20" s="1"/>
  <c r="F1654" i="20" s="1"/>
  <c r="D1655" i="20" s="1"/>
  <c r="E1655" i="20" s="1"/>
  <c r="F1655" i="20" s="1"/>
  <c r="D1656" i="20" s="1"/>
  <c r="E1656" i="20" s="1"/>
  <c r="F1656" i="20" s="1"/>
  <c r="D1657" i="20" s="1"/>
  <c r="E1657" i="20" s="1"/>
  <c r="F1657" i="20" s="1"/>
  <c r="D1658" i="20" s="1"/>
  <c r="E1658" i="20" s="1"/>
  <c r="F1658" i="20" s="1"/>
  <c r="D1659" i="20" s="1"/>
  <c r="E1659" i="20" s="1"/>
  <c r="F1659" i="20" s="1"/>
  <c r="D1660" i="20" s="1"/>
  <c r="E1660" i="20" s="1"/>
  <c r="F1660" i="20" s="1"/>
  <c r="D1661" i="20" s="1"/>
  <c r="E1661" i="20" s="1"/>
  <c r="F1661" i="20" s="1"/>
  <c r="D1662" i="20" s="1"/>
  <c r="E1662" i="20" s="1"/>
  <c r="F1662" i="20" s="1"/>
  <c r="D1663" i="20" s="1"/>
  <c r="E1663" i="20" s="1"/>
  <c r="F1663" i="20" s="1"/>
  <c r="D1664" i="20" s="1"/>
  <c r="E1664" i="20" s="1"/>
  <c r="F1664" i="20" s="1"/>
  <c r="D1665" i="20" s="1"/>
  <c r="E1665" i="20" s="1"/>
  <c r="F1665" i="20" s="1"/>
  <c r="D1666" i="20" s="1"/>
  <c r="E1666" i="20" s="1"/>
  <c r="F1666" i="20" s="1"/>
  <c r="D1667" i="20" s="1"/>
  <c r="E1667" i="20" s="1"/>
  <c r="F1667" i="20" s="1"/>
  <c r="D1668" i="20" s="1"/>
  <c r="E1668" i="20" s="1"/>
  <c r="F1668" i="20" s="1"/>
  <c r="D1669" i="20" s="1"/>
  <c r="E1669" i="20" s="1"/>
  <c r="F1669" i="20" s="1"/>
  <c r="D1670" i="20" s="1"/>
  <c r="E1670" i="20" s="1"/>
  <c r="F1670" i="20" s="1"/>
  <c r="D1671" i="20" s="1"/>
  <c r="E1671" i="20" s="1"/>
  <c r="F1671" i="20" s="1"/>
  <c r="D1672" i="20" s="1"/>
  <c r="E1672" i="20" s="1"/>
  <c r="F1672" i="20" s="1"/>
  <c r="D1673" i="20" s="1"/>
  <c r="E1673" i="20" s="1"/>
  <c r="F1673" i="20" s="1"/>
  <c r="D1674" i="20" s="1"/>
  <c r="E1674" i="20" s="1"/>
  <c r="F1674" i="20" s="1"/>
  <c r="D1675" i="20" s="1"/>
  <c r="E1675" i="20" s="1"/>
  <c r="F1675" i="20" s="1"/>
  <c r="D1434" i="20"/>
  <c r="D1791" i="20"/>
  <c r="I1792" i="20" s="1"/>
  <c r="E1795" i="20" s="1"/>
  <c r="F1795" i="20" s="1"/>
  <c r="D1796" i="20" s="1"/>
  <c r="E1796" i="20" s="1"/>
  <c r="F1796" i="20" s="1"/>
  <c r="D1797" i="20" s="1"/>
  <c r="E1797" i="20" s="1"/>
  <c r="F1797" i="20" s="1"/>
  <c r="D1798" i="20" s="1"/>
  <c r="E1798" i="20" s="1"/>
  <c r="F1798" i="20" s="1"/>
  <c r="D1799" i="20" s="1"/>
  <c r="E1799" i="20" s="1"/>
  <c r="F1799" i="20" s="1"/>
  <c r="D1800" i="20" s="1"/>
  <c r="E1800" i="20" s="1"/>
  <c r="F1800" i="20" s="1"/>
  <c r="D1801" i="20" s="1"/>
  <c r="E1801" i="20" s="1"/>
  <c r="F1801" i="20" s="1"/>
  <c r="D1802" i="20" s="1"/>
  <c r="E1802" i="20" s="1"/>
  <c r="F1802" i="20" s="1"/>
  <c r="D1803" i="20" s="1"/>
  <c r="E1803" i="20" s="1"/>
  <c r="F1803" i="20" s="1"/>
  <c r="D1804" i="20" s="1"/>
  <c r="D1345" i="20"/>
  <c r="I1346" i="20" s="1"/>
  <c r="E1349" i="20" s="1"/>
  <c r="F1349" i="20" s="1"/>
  <c r="D1350" i="20" s="1"/>
  <c r="E1350" i="20" s="1"/>
  <c r="F1350" i="20" s="1"/>
  <c r="D1351" i="20" s="1"/>
  <c r="E1351" i="20" s="1"/>
  <c r="F1351" i="20" s="1"/>
  <c r="D1352" i="20" s="1"/>
  <c r="E1352" i="20" s="1"/>
  <c r="F1352" i="20" s="1"/>
  <c r="D1353" i="20" s="1"/>
  <c r="E1353" i="20" s="1"/>
  <c r="F1353" i="20" s="1"/>
  <c r="D1354" i="20" s="1"/>
  <c r="E1354" i="20" s="1"/>
  <c r="F1354" i="20" s="1"/>
  <c r="D1355" i="20" s="1"/>
  <c r="E1355" i="20" s="1"/>
  <c r="F1355" i="20" s="1"/>
  <c r="D1356" i="20" s="1"/>
  <c r="E1356" i="20" s="1"/>
  <c r="F1356" i="20" s="1"/>
  <c r="D1357" i="20" s="1"/>
  <c r="E1357" i="20" s="1"/>
  <c r="F1357" i="20" s="1"/>
  <c r="D1358" i="20" s="1"/>
  <c r="E1358" i="20" s="1"/>
  <c r="F1358" i="20" s="1"/>
  <c r="D1359" i="20" s="1"/>
  <c r="E1359" i="20" s="1"/>
  <c r="F1359" i="20" s="1"/>
  <c r="D1360" i="20" s="1"/>
  <c r="E1360" i="20" s="1"/>
  <c r="F1360" i="20" s="1"/>
  <c r="D1361" i="20" s="1"/>
  <c r="E1361" i="20" s="1"/>
  <c r="F1361" i="20" s="1"/>
  <c r="D1362" i="20" s="1"/>
  <c r="E1362" i="20" s="1"/>
  <c r="F1362" i="20" s="1"/>
  <c r="D1363" i="20" s="1"/>
  <c r="E1363" i="20" s="1"/>
  <c r="F1363" i="20" s="1"/>
  <c r="D1364" i="20" s="1"/>
  <c r="E1364" i="20" s="1"/>
  <c r="F1364" i="20" s="1"/>
  <c r="D1365" i="20" s="1"/>
  <c r="E1365" i="20" s="1"/>
  <c r="F1365" i="20" s="1"/>
  <c r="D1366" i="20" s="1"/>
  <c r="E1366" i="20" s="1"/>
  <c r="F1366" i="20" s="1"/>
  <c r="D1367" i="20" s="1"/>
  <c r="E1367" i="20" s="1"/>
  <c r="F1367" i="20" s="1"/>
  <c r="D1368" i="20" s="1"/>
  <c r="E1368" i="20" s="1"/>
  <c r="F1368" i="20" s="1"/>
  <c r="D1369" i="20" s="1"/>
  <c r="E1369" i="20" s="1"/>
  <c r="F1369" i="20" s="1"/>
  <c r="D1370" i="20" s="1"/>
  <c r="E1370" i="20" s="1"/>
  <c r="F1370" i="20" s="1"/>
  <c r="D1371" i="20" s="1"/>
  <c r="E1371" i="20" s="1"/>
  <c r="F1371" i="20" s="1"/>
  <c r="D1372" i="20" s="1"/>
  <c r="E1372" i="20" s="1"/>
  <c r="F1372" i="20" s="1"/>
  <c r="D1373" i="20" s="1"/>
  <c r="E1373" i="20" s="1"/>
  <c r="F1373" i="20" s="1"/>
  <c r="D1374" i="20" s="1"/>
  <c r="E1374" i="20" s="1"/>
  <c r="F1374" i="20" s="1"/>
  <c r="D1375" i="20" s="1"/>
  <c r="E1375" i="20" s="1"/>
  <c r="F1375" i="20" s="1"/>
  <c r="D1376" i="20" s="1"/>
  <c r="E1376" i="20" s="1"/>
  <c r="F1376" i="20" s="1"/>
  <c r="D1377" i="20" s="1"/>
  <c r="E1377" i="20" s="1"/>
  <c r="F1377" i="20" s="1"/>
  <c r="D1378" i="20" s="1"/>
  <c r="E1378" i="20" s="1"/>
  <c r="F1378" i="20" s="1"/>
  <c r="D1379" i="20" s="1"/>
  <c r="E1379" i="20" s="1"/>
  <c r="F1379" i="20" s="1"/>
  <c r="D1380" i="20" s="1"/>
  <c r="E1380" i="20" s="1"/>
  <c r="F1380" i="20" s="1"/>
  <c r="D1381" i="20" s="1"/>
  <c r="E1381" i="20" s="1"/>
  <c r="F1381" i="20" s="1"/>
  <c r="D1382" i="20" s="1"/>
  <c r="E1382" i="20" s="1"/>
  <c r="F1382" i="20" s="1"/>
  <c r="D1383" i="20" s="1"/>
  <c r="E1383" i="20" s="1"/>
  <c r="F1383" i="20" s="1"/>
  <c r="D1384" i="20" s="1"/>
  <c r="E1384" i="20" s="1"/>
  <c r="F1384" i="20" s="1"/>
  <c r="D1385" i="20" s="1"/>
  <c r="E1385" i="20" s="1"/>
  <c r="F1385" i="20" s="1"/>
  <c r="D1386" i="20" s="1"/>
  <c r="E1386" i="20" s="1"/>
  <c r="F1386" i="20" s="1"/>
  <c r="D1387" i="20" s="1"/>
  <c r="E1387" i="20" s="1"/>
  <c r="F1387" i="20" s="1"/>
  <c r="D1388" i="20" s="1"/>
  <c r="E1388" i="20" s="1"/>
  <c r="F1388" i="20" s="1"/>
  <c r="D1389" i="20" s="1"/>
  <c r="E1389" i="20" s="1"/>
  <c r="F1389" i="20" s="1"/>
  <c r="D1390" i="20" s="1"/>
  <c r="E1390" i="20" s="1"/>
  <c r="F1390" i="20" s="1"/>
  <c r="D1391" i="20" s="1"/>
  <c r="E1391" i="20" s="1"/>
  <c r="F1391" i="20" s="1"/>
  <c r="D1392" i="20" s="1"/>
  <c r="E1392" i="20" s="1"/>
  <c r="F1392" i="20" s="1"/>
  <c r="D1393" i="20" s="1"/>
  <c r="E1393" i="20" s="1"/>
  <c r="F1393" i="20" s="1"/>
  <c r="D1394" i="20" s="1"/>
  <c r="E1394" i="20" s="1"/>
  <c r="F1394" i="20" s="1"/>
  <c r="D1395" i="20" s="1"/>
  <c r="E1395" i="20" s="1"/>
  <c r="F1395" i="20" s="1"/>
  <c r="D1396" i="20" s="1"/>
  <c r="E1396" i="20" s="1"/>
  <c r="F1396" i="20" s="1"/>
  <c r="D1397" i="20" s="1"/>
  <c r="E1397" i="20" s="1"/>
  <c r="F1397" i="20" s="1"/>
  <c r="D1398" i="20" s="1"/>
  <c r="E1398" i="20" s="1"/>
  <c r="F1398" i="20" s="1"/>
  <c r="D1399" i="20" s="1"/>
  <c r="E1399" i="20" s="1"/>
  <c r="F1399" i="20" s="1"/>
  <c r="D1400" i="20" s="1"/>
  <c r="E1400" i="20" s="1"/>
  <c r="F1400" i="20" s="1"/>
  <c r="D1401" i="20" s="1"/>
  <c r="E1401" i="20" s="1"/>
  <c r="F1401" i="20" s="1"/>
  <c r="D1402" i="20" s="1"/>
  <c r="E1402" i="20" s="1"/>
  <c r="F1402" i="20" s="1"/>
  <c r="D1403" i="20" s="1"/>
  <c r="E1403" i="20" s="1"/>
  <c r="F1403" i="20" s="1"/>
  <c r="D1404" i="20" s="1"/>
  <c r="E1404" i="20" s="1"/>
  <c r="F1404" i="20" s="1"/>
  <c r="D1405" i="20" s="1"/>
  <c r="E1405" i="20" s="1"/>
  <c r="F1405" i="20" s="1"/>
  <c r="D1406" i="20" s="1"/>
  <c r="E1406" i="20" s="1"/>
  <c r="F1406" i="20" s="1"/>
  <c r="D1407" i="20" s="1"/>
  <c r="E1407" i="20" s="1"/>
  <c r="F1407" i="20" s="1"/>
  <c r="D1408" i="20" s="1"/>
  <c r="E1408" i="20" s="1"/>
  <c r="F1408" i="20" s="1"/>
  <c r="D1996" i="13"/>
  <c r="J1997" i="13" s="1"/>
  <c r="E2000" i="13" s="1"/>
  <c r="F2000" i="13" s="1"/>
  <c r="D1393" i="13"/>
  <c r="J1394" i="13" s="1"/>
  <c r="E1397" i="13" s="1"/>
  <c r="F1397" i="13" s="1"/>
  <c r="D443" i="13"/>
  <c r="J444" i="13" s="1"/>
  <c r="E447" i="13" s="1"/>
  <c r="F447" i="13" s="1"/>
  <c r="D529" i="13"/>
  <c r="J530" i="13" s="1"/>
  <c r="D963" i="13"/>
  <c r="D1221" i="13"/>
  <c r="J1222" i="13" s="1"/>
  <c r="E1225" i="13" s="1"/>
  <c r="F1225" i="13" s="1"/>
  <c r="D615" i="13"/>
  <c r="J616" i="13" s="1"/>
  <c r="E619" i="13" s="1"/>
  <c r="F619" i="13" s="1"/>
  <c r="D1479" i="13"/>
  <c r="J1480" i="13" s="1"/>
  <c r="E1483" i="13" s="1"/>
  <c r="F1483" i="13" s="1"/>
  <c r="D1823" i="13"/>
  <c r="J1824" i="13" s="1"/>
  <c r="E1827" i="13" s="1"/>
  <c r="F1827" i="13" s="1"/>
  <c r="D1307" i="13"/>
  <c r="J1308" i="13" s="1"/>
  <c r="E1311" i="13" s="1"/>
  <c r="F1311" i="13" s="1"/>
  <c r="D1737" i="13"/>
  <c r="J1738" i="13" s="1"/>
  <c r="E1741" i="13" s="1"/>
  <c r="F1741" i="13" s="1"/>
  <c r="D98" i="13"/>
  <c r="J99" i="13" s="1"/>
  <c r="E102" i="13" s="1"/>
  <c r="F102" i="13" s="1"/>
  <c r="D1909" i="13"/>
  <c r="J1910" i="13" s="1"/>
  <c r="E1913" i="13" s="1"/>
  <c r="F1913" i="13" s="1"/>
  <c r="D357" i="13"/>
  <c r="J358" i="13" s="1"/>
  <c r="E361" i="13" s="1"/>
  <c r="F361" i="13" s="1"/>
  <c r="D185" i="13"/>
  <c r="J186" i="13" s="1"/>
  <c r="E189" i="13" s="1"/>
  <c r="F189" i="13" s="1"/>
  <c r="D791" i="13"/>
  <c r="J792" i="13" s="1"/>
  <c r="E795" i="13" s="1"/>
  <c r="F795" i="13" s="1"/>
  <c r="D703" i="13"/>
  <c r="J704" i="13" s="1"/>
  <c r="E707" i="13" s="1"/>
  <c r="F707" i="13" s="1"/>
  <c r="D271" i="13"/>
  <c r="J272" i="13" s="1"/>
  <c r="E275" i="13" s="1"/>
  <c r="F275" i="13" s="1"/>
  <c r="D1049" i="13"/>
  <c r="J1050" i="13" s="1"/>
  <c r="E1053" i="13" s="1"/>
  <c r="F1053" i="13" s="1"/>
  <c r="D877" i="13"/>
  <c r="J878" i="13" s="1"/>
  <c r="E881" i="13" s="1"/>
  <c r="F881" i="13" s="1"/>
  <c r="D1135" i="13"/>
  <c r="J1136" i="13" s="1"/>
  <c r="E1139" i="13" s="1"/>
  <c r="F1139" i="13" s="1"/>
  <c r="D1651" i="13"/>
  <c r="D1565" i="13"/>
  <c r="J1566" i="13" s="1"/>
  <c r="L95" i="2" l="1"/>
  <c r="G64" i="20" s="1"/>
  <c r="L257" i="2"/>
  <c r="L166" i="2"/>
  <c r="D1742" i="13"/>
  <c r="G1741" i="13"/>
  <c r="D708" i="13"/>
  <c r="G707" i="13"/>
  <c r="D1828" i="13"/>
  <c r="G1827" i="13"/>
  <c r="G2000" i="13"/>
  <c r="D2001" i="13"/>
  <c r="D1484" i="13"/>
  <c r="G1483" i="13"/>
  <c r="E108" i="20"/>
  <c r="F108" i="20" s="1"/>
  <c r="D109" i="20" s="1"/>
  <c r="E109" i="20" s="1"/>
  <c r="F109" i="20" s="1"/>
  <c r="D110" i="20" s="1"/>
  <c r="E110" i="20" s="1"/>
  <c r="F110" i="20" s="1"/>
  <c r="D111" i="20" s="1"/>
  <c r="E111" i="20" s="1"/>
  <c r="F111" i="20" s="1"/>
  <c r="D112" i="20" s="1"/>
  <c r="E112" i="20" s="1"/>
  <c r="F112" i="20" s="1"/>
  <c r="D113" i="20" s="1"/>
  <c r="E113" i="20" s="1"/>
  <c r="F113" i="20" s="1"/>
  <c r="D114" i="20" s="1"/>
  <c r="E114" i="20" s="1"/>
  <c r="F114" i="20" s="1"/>
  <c r="D115" i="20" s="1"/>
  <c r="E115" i="20" s="1"/>
  <c r="F115" i="20" s="1"/>
  <c r="D116" i="20" s="1"/>
  <c r="E116" i="20" s="1"/>
  <c r="F116" i="20" s="1"/>
  <c r="D117" i="20" s="1"/>
  <c r="E117" i="20" s="1"/>
  <c r="F117" i="20" s="1"/>
  <c r="D118" i="20" s="1"/>
  <c r="E118" i="20" s="1"/>
  <c r="F118" i="20" s="1"/>
  <c r="D119" i="20" s="1"/>
  <c r="E119" i="20" s="1"/>
  <c r="F119" i="20" s="1"/>
  <c r="D120" i="20" s="1"/>
  <c r="E120" i="20" s="1"/>
  <c r="F120" i="20" s="1"/>
  <c r="D121" i="20" s="1"/>
  <c r="E121" i="20" s="1"/>
  <c r="F121" i="20" s="1"/>
  <c r="D122" i="20" s="1"/>
  <c r="E122" i="20" s="1"/>
  <c r="F122" i="20" s="1"/>
  <c r="D123" i="20" s="1"/>
  <c r="E123" i="20" s="1"/>
  <c r="F123" i="20" s="1"/>
  <c r="D124" i="20" s="1"/>
  <c r="E124" i="20" s="1"/>
  <c r="F124" i="20" s="1"/>
  <c r="D125" i="20" s="1"/>
  <c r="E125" i="20" s="1"/>
  <c r="F125" i="20" s="1"/>
  <c r="D126" i="20" s="1"/>
  <c r="E126" i="20" s="1"/>
  <c r="F126" i="20" s="1"/>
  <c r="D127" i="20" s="1"/>
  <c r="E127" i="20" s="1"/>
  <c r="F127" i="20" s="1"/>
  <c r="D128" i="20" s="1"/>
  <c r="E128" i="20" s="1"/>
  <c r="F128" i="20" s="1"/>
  <c r="D129" i="20" s="1"/>
  <c r="E129" i="20" s="1"/>
  <c r="F129" i="20" s="1"/>
  <c r="D130" i="20" s="1"/>
  <c r="E130" i="20" s="1"/>
  <c r="F130" i="20" s="1"/>
  <c r="D131" i="20" s="1"/>
  <c r="E131" i="20" s="1"/>
  <c r="F131" i="20" s="1"/>
  <c r="D132" i="20" s="1"/>
  <c r="E132" i="20" s="1"/>
  <c r="F132" i="20" s="1"/>
  <c r="D133" i="20" s="1"/>
  <c r="E133" i="20" s="1"/>
  <c r="F133" i="20" s="1"/>
  <c r="D134" i="20" s="1"/>
  <c r="E134" i="20" s="1"/>
  <c r="F134" i="20" s="1"/>
  <c r="D135" i="20" s="1"/>
  <c r="E135" i="20" s="1"/>
  <c r="F135" i="20" s="1"/>
  <c r="D136" i="20" s="1"/>
  <c r="E136" i="20" s="1"/>
  <c r="F136" i="20" s="1"/>
  <c r="D137" i="20" s="1"/>
  <c r="E137" i="20" s="1"/>
  <c r="F137" i="20" s="1"/>
  <c r="D138" i="20" s="1"/>
  <c r="E138" i="20" s="1"/>
  <c r="F138" i="20" s="1"/>
  <c r="D139" i="20" s="1"/>
  <c r="E139" i="20" s="1"/>
  <c r="F139" i="20" s="1"/>
  <c r="D140" i="20" s="1"/>
  <c r="E140" i="20" s="1"/>
  <c r="F140" i="20" s="1"/>
  <c r="D141" i="20" s="1"/>
  <c r="E141" i="20" s="1"/>
  <c r="F141" i="20" s="1"/>
  <c r="D142" i="20" s="1"/>
  <c r="E142" i="20" s="1"/>
  <c r="F142" i="20" s="1"/>
  <c r="D143" i="20" s="1"/>
  <c r="E143" i="20" s="1"/>
  <c r="F143" i="20" s="1"/>
  <c r="D144" i="20" s="1"/>
  <c r="E144" i="20" s="1"/>
  <c r="F144" i="20" s="1"/>
  <c r="D145" i="20" s="1"/>
  <c r="E145" i="20" s="1"/>
  <c r="F145" i="20" s="1"/>
  <c r="D146" i="20" s="1"/>
  <c r="E146" i="20" s="1"/>
  <c r="F146" i="20" s="1"/>
  <c r="D147" i="20" s="1"/>
  <c r="E147" i="20" s="1"/>
  <c r="F147" i="20" s="1"/>
  <c r="D148" i="20" s="1"/>
  <c r="E148" i="20" s="1"/>
  <c r="F148" i="20" s="1"/>
  <c r="D149" i="20" s="1"/>
  <c r="E149" i="20" s="1"/>
  <c r="F149" i="20" s="1"/>
  <c r="D150" i="20" s="1"/>
  <c r="E150" i="20" s="1"/>
  <c r="F150" i="20" s="1"/>
  <c r="D151" i="20" s="1"/>
  <c r="E151" i="20" s="1"/>
  <c r="F151" i="20" s="1"/>
  <c r="D152" i="20" s="1"/>
  <c r="E152" i="20" s="1"/>
  <c r="F152" i="20" s="1"/>
  <c r="D153" i="20" s="1"/>
  <c r="E153" i="20" s="1"/>
  <c r="F153" i="20" s="1"/>
  <c r="D154" i="20" s="1"/>
  <c r="E154" i="20" s="1"/>
  <c r="F154" i="20" s="1"/>
  <c r="D155" i="20" s="1"/>
  <c r="E155" i="20" s="1"/>
  <c r="F155" i="20" s="1"/>
  <c r="D156" i="20" s="1"/>
  <c r="E156" i="20" s="1"/>
  <c r="F156" i="20" s="1"/>
  <c r="D157" i="20" s="1"/>
  <c r="E157" i="20" s="1"/>
  <c r="F157" i="20" s="1"/>
  <c r="D158" i="20" s="1"/>
  <c r="E158" i="20" s="1"/>
  <c r="F158" i="20" s="1"/>
  <c r="D159" i="20" s="1"/>
  <c r="E159" i="20" s="1"/>
  <c r="F159" i="20" s="1"/>
  <c r="G275" i="13"/>
  <c r="D276" i="13"/>
  <c r="E1569" i="13"/>
  <c r="F1569" i="13" s="1"/>
  <c r="E1656" i="13"/>
  <c r="F1656" i="13" s="1"/>
  <c r="D620" i="13"/>
  <c r="G619" i="13"/>
  <c r="G1397" i="13"/>
  <c r="D1398" i="13"/>
  <c r="D796" i="13"/>
  <c r="G795" i="13"/>
  <c r="E1804" i="20"/>
  <c r="F1804" i="20" s="1"/>
  <c r="D1805" i="20" s="1"/>
  <c r="E1805" i="20" s="1"/>
  <c r="F1805" i="20" s="1"/>
  <c r="D1806" i="20" s="1"/>
  <c r="E1806" i="20" s="1"/>
  <c r="F1806" i="20" s="1"/>
  <c r="D1807" i="20" s="1"/>
  <c r="E1807" i="20" s="1"/>
  <c r="F1807" i="20" s="1"/>
  <c r="D1808" i="20" s="1"/>
  <c r="E1808" i="20" s="1"/>
  <c r="F1808" i="20" s="1"/>
  <c r="D1809" i="20" s="1"/>
  <c r="E1809" i="20" s="1"/>
  <c r="F1809" i="20" s="1"/>
  <c r="D1810" i="20" s="1"/>
  <c r="E1810" i="20" s="1"/>
  <c r="F1810" i="20" s="1"/>
  <c r="D1811" i="20" s="1"/>
  <c r="E1811" i="20" s="1"/>
  <c r="F1811" i="20" s="1"/>
  <c r="D1812" i="20" s="1"/>
  <c r="E1812" i="20" s="1"/>
  <c r="F1812" i="20" s="1"/>
  <c r="D1813" i="20" s="1"/>
  <c r="E1813" i="20" s="1"/>
  <c r="F1813" i="20" s="1"/>
  <c r="D1814" i="20" s="1"/>
  <c r="E1814" i="20" s="1"/>
  <c r="F1814" i="20" s="1"/>
  <c r="D1815" i="20" s="1"/>
  <c r="E1815" i="20" s="1"/>
  <c r="F1815" i="20" s="1"/>
  <c r="D1816" i="20" s="1"/>
  <c r="E1816" i="20" s="1"/>
  <c r="F1816" i="20" s="1"/>
  <c r="D1817" i="20" s="1"/>
  <c r="E1817" i="20" s="1"/>
  <c r="F1817" i="20" s="1"/>
  <c r="D1818" i="20" s="1"/>
  <c r="E1818" i="20" s="1"/>
  <c r="F1818" i="20" s="1"/>
  <c r="D1819" i="20" s="1"/>
  <c r="E1819" i="20" s="1"/>
  <c r="F1819" i="20" s="1"/>
  <c r="D1820" i="20" s="1"/>
  <c r="E1820" i="20" s="1"/>
  <c r="F1820" i="20" s="1"/>
  <c r="D1821" i="20" s="1"/>
  <c r="E1821" i="20" s="1"/>
  <c r="F1821" i="20" s="1"/>
  <c r="D1822" i="20" s="1"/>
  <c r="E1822" i="20" s="1"/>
  <c r="F1822" i="20" s="1"/>
  <c r="D1823" i="20" s="1"/>
  <c r="E1823" i="20" s="1"/>
  <c r="F1823" i="20" s="1"/>
  <c r="D1824" i="20" s="1"/>
  <c r="E1824" i="20" s="1"/>
  <c r="F1824" i="20" s="1"/>
  <c r="D1825" i="20" s="1"/>
  <c r="E1825" i="20" s="1"/>
  <c r="F1825" i="20" s="1"/>
  <c r="D1826" i="20" s="1"/>
  <c r="E1826" i="20" s="1"/>
  <c r="F1826" i="20" s="1"/>
  <c r="D1827" i="20" s="1"/>
  <c r="E1827" i="20" s="1"/>
  <c r="F1827" i="20" s="1"/>
  <c r="D1828" i="20" s="1"/>
  <c r="E1828" i="20" s="1"/>
  <c r="F1828" i="20" s="1"/>
  <c r="D1829" i="20" s="1"/>
  <c r="E1829" i="20" s="1"/>
  <c r="F1829" i="20" s="1"/>
  <c r="D1830" i="20" s="1"/>
  <c r="E1830" i="20" s="1"/>
  <c r="F1830" i="20" s="1"/>
  <c r="D1831" i="20" s="1"/>
  <c r="E1831" i="20" s="1"/>
  <c r="F1831" i="20" s="1"/>
  <c r="D1832" i="20" s="1"/>
  <c r="E1832" i="20" s="1"/>
  <c r="F1832" i="20" s="1"/>
  <c r="D1833" i="20" s="1"/>
  <c r="E1833" i="20" s="1"/>
  <c r="F1833" i="20" s="1"/>
  <c r="D1834" i="20" s="1"/>
  <c r="E1834" i="20" s="1"/>
  <c r="F1834" i="20" s="1"/>
  <c r="D1835" i="20" s="1"/>
  <c r="E1835" i="20" s="1"/>
  <c r="F1835" i="20" s="1"/>
  <c r="D1836" i="20" s="1"/>
  <c r="E1836" i="20" s="1"/>
  <c r="F1836" i="20" s="1"/>
  <c r="D1837" i="20" s="1"/>
  <c r="E1837" i="20" s="1"/>
  <c r="F1837" i="20" s="1"/>
  <c r="D1838" i="20" s="1"/>
  <c r="E1838" i="20" s="1"/>
  <c r="F1838" i="20" s="1"/>
  <c r="D1839" i="20" s="1"/>
  <c r="E1839" i="20" s="1"/>
  <c r="F1839" i="20" s="1"/>
  <c r="D1840" i="20" s="1"/>
  <c r="E1840" i="20" s="1"/>
  <c r="F1840" i="20" s="1"/>
  <c r="D1841" i="20" s="1"/>
  <c r="E1841" i="20" s="1"/>
  <c r="F1841" i="20" s="1"/>
  <c r="D1842" i="20" s="1"/>
  <c r="E1842" i="20" s="1"/>
  <c r="F1842" i="20" s="1"/>
  <c r="D1843" i="20" s="1"/>
  <c r="E1843" i="20" s="1"/>
  <c r="F1843" i="20" s="1"/>
  <c r="D1844" i="20" s="1"/>
  <c r="E1844" i="20" s="1"/>
  <c r="F1844" i="20" s="1"/>
  <c r="D1845" i="20" s="1"/>
  <c r="E1845" i="20" s="1"/>
  <c r="F1845" i="20" s="1"/>
  <c r="D1846" i="20" s="1"/>
  <c r="E1846" i="20" s="1"/>
  <c r="F1846" i="20" s="1"/>
  <c r="D1847" i="20" s="1"/>
  <c r="E1847" i="20" s="1"/>
  <c r="F1847" i="20" s="1"/>
  <c r="D1848" i="20" s="1"/>
  <c r="E1848" i="20" s="1"/>
  <c r="F1848" i="20" s="1"/>
  <c r="D1849" i="20" s="1"/>
  <c r="E1849" i="20" s="1"/>
  <c r="F1849" i="20" s="1"/>
  <c r="D1850" i="20" s="1"/>
  <c r="E1850" i="20" s="1"/>
  <c r="F1850" i="20" s="1"/>
  <c r="D1851" i="20" s="1"/>
  <c r="E1851" i="20" s="1"/>
  <c r="F1851" i="20" s="1"/>
  <c r="D1852" i="20" s="1"/>
  <c r="E1852" i="20" s="1"/>
  <c r="F1852" i="20" s="1"/>
  <c r="D1853" i="20" s="1"/>
  <c r="E1853" i="20" s="1"/>
  <c r="F1853" i="20" s="1"/>
  <c r="D1854" i="20" s="1"/>
  <c r="E1854" i="20" s="1"/>
  <c r="F1854" i="20" s="1"/>
  <c r="D362" i="13"/>
  <c r="G361" i="13"/>
  <c r="D1226" i="13"/>
  <c r="G1225" i="13"/>
  <c r="E2003" i="20"/>
  <c r="F2003" i="20" s="1"/>
  <c r="D2004" i="20" s="1"/>
  <c r="E2004" i="20" s="1"/>
  <c r="F2004" i="20" s="1"/>
  <c r="D2005" i="20" s="1"/>
  <c r="E2005" i="20" s="1"/>
  <c r="F2005" i="20" s="1"/>
  <c r="D2006" i="20" s="1"/>
  <c r="E2006" i="20" s="1"/>
  <c r="F2006" i="20" s="1"/>
  <c r="D2007" i="20" s="1"/>
  <c r="E2007" i="20" s="1"/>
  <c r="F2007" i="20" s="1"/>
  <c r="D2008" i="20" s="1"/>
  <c r="E2008" i="20" s="1"/>
  <c r="F2008" i="20" s="1"/>
  <c r="D2009" i="20" s="1"/>
  <c r="E2009" i="20" s="1"/>
  <c r="F2009" i="20" s="1"/>
  <c r="D2010" i="20" s="1"/>
  <c r="E2010" i="20" s="1"/>
  <c r="F2010" i="20" s="1"/>
  <c r="D2011" i="20" s="1"/>
  <c r="E2011" i="20" s="1"/>
  <c r="F2011" i="20" s="1"/>
  <c r="D2012" i="20" s="1"/>
  <c r="E2012" i="20" s="1"/>
  <c r="F2012" i="20" s="1"/>
  <c r="D2013" i="20" s="1"/>
  <c r="E2013" i="20" s="1"/>
  <c r="F2013" i="20" s="1"/>
  <c r="D2014" i="20" s="1"/>
  <c r="E2014" i="20" s="1"/>
  <c r="F2014" i="20" s="1"/>
  <c r="D2015" i="20" s="1"/>
  <c r="E2015" i="20" s="1"/>
  <c r="F2015" i="20" s="1"/>
  <c r="D2016" i="20" s="1"/>
  <c r="E2016" i="20" s="1"/>
  <c r="F2016" i="20" s="1"/>
  <c r="D2017" i="20" s="1"/>
  <c r="E2017" i="20" s="1"/>
  <c r="F2017" i="20" s="1"/>
  <c r="D2018" i="20" s="1"/>
  <c r="E2018" i="20" s="1"/>
  <c r="F2018" i="20" s="1"/>
  <c r="D2019" i="20" s="1"/>
  <c r="E2019" i="20" s="1"/>
  <c r="F2019" i="20" s="1"/>
  <c r="D2020" i="20" s="1"/>
  <c r="E2020" i="20" s="1"/>
  <c r="F2020" i="20" s="1"/>
  <c r="D2021" i="20" s="1"/>
  <c r="E2021" i="20" s="1"/>
  <c r="F2021" i="20" s="1"/>
  <c r="D2022" i="20" s="1"/>
  <c r="E2022" i="20" s="1"/>
  <c r="F2022" i="20" s="1"/>
  <c r="D2023" i="20" s="1"/>
  <c r="E2023" i="20" s="1"/>
  <c r="F2023" i="20" s="1"/>
  <c r="D2024" i="20" s="1"/>
  <c r="E2024" i="20" s="1"/>
  <c r="F2024" i="20" s="1"/>
  <c r="D2025" i="20" s="1"/>
  <c r="E2025" i="20" s="1"/>
  <c r="F2025" i="20" s="1"/>
  <c r="D2026" i="20" s="1"/>
  <c r="E2026" i="20" s="1"/>
  <c r="F2026" i="20" s="1"/>
  <c r="D2027" i="20" s="1"/>
  <c r="E2027" i="20" s="1"/>
  <c r="F2027" i="20" s="1"/>
  <c r="D2028" i="20" s="1"/>
  <c r="E2028" i="20" s="1"/>
  <c r="F2028" i="20" s="1"/>
  <c r="D2029" i="20" s="1"/>
  <c r="E2029" i="20" s="1"/>
  <c r="F2029" i="20" s="1"/>
  <c r="D2030" i="20" s="1"/>
  <c r="E2030" i="20" s="1"/>
  <c r="F2030" i="20" s="1"/>
  <c r="D2031" i="20" s="1"/>
  <c r="E2031" i="20" s="1"/>
  <c r="F2031" i="20" s="1"/>
  <c r="D2032" i="20" s="1"/>
  <c r="E2032" i="20" s="1"/>
  <c r="F2032" i="20" s="1"/>
  <c r="G1053" i="13"/>
  <c r="D1054" i="13"/>
  <c r="E587" i="20"/>
  <c r="E574" i="20"/>
  <c r="E589" i="20"/>
  <c r="E570" i="20"/>
  <c r="E553" i="20"/>
  <c r="E569" i="20"/>
  <c r="E556" i="20"/>
  <c r="E576" i="20"/>
  <c r="E590" i="20"/>
  <c r="E558" i="20"/>
  <c r="E564" i="20"/>
  <c r="E571" i="20"/>
  <c r="E561" i="20"/>
  <c r="E585" i="20"/>
  <c r="E582" i="20"/>
  <c r="E583" i="20"/>
  <c r="E559" i="20"/>
  <c r="E548" i="20"/>
  <c r="F548" i="20" s="1"/>
  <c r="D549" i="20" s="1"/>
  <c r="E572" i="20"/>
  <c r="E549" i="20"/>
  <c r="E567" i="20"/>
  <c r="E580" i="20"/>
  <c r="E575" i="20"/>
  <c r="E578" i="20"/>
  <c r="E551" i="20"/>
  <c r="E554" i="20"/>
  <c r="E584" i="20"/>
  <c r="E588" i="20"/>
  <c r="E586" i="20"/>
  <c r="E565" i="20"/>
  <c r="E579" i="20"/>
  <c r="E573" i="20"/>
  <c r="E550" i="20"/>
  <c r="E560" i="20"/>
  <c r="E552" i="20"/>
  <c r="E566" i="20"/>
  <c r="E577" i="20"/>
  <c r="E555" i="20"/>
  <c r="E563" i="20"/>
  <c r="E562" i="20"/>
  <c r="E591" i="20"/>
  <c r="E568" i="20"/>
  <c r="E581" i="20"/>
  <c r="E557" i="20"/>
  <c r="G189" i="13"/>
  <c r="D190" i="13"/>
  <c r="D1140" i="13"/>
  <c r="G1139" i="13"/>
  <c r="G1913" i="13"/>
  <c r="D1914" i="13"/>
  <c r="D1312" i="13"/>
  <c r="G1311" i="13"/>
  <c r="G881" i="13"/>
  <c r="D882" i="13"/>
  <c r="D103" i="13"/>
  <c r="G102" i="13"/>
  <c r="E561" i="13"/>
  <c r="E565" i="13"/>
  <c r="E555" i="13"/>
  <c r="E551" i="13"/>
  <c r="E573" i="13"/>
  <c r="E553" i="13"/>
  <c r="E533" i="13"/>
  <c r="E562" i="13"/>
  <c r="E542" i="13"/>
  <c r="E576" i="13"/>
  <c r="E572" i="13"/>
  <c r="E570" i="13"/>
  <c r="E548" i="13"/>
  <c r="E540" i="13"/>
  <c r="E535" i="13"/>
  <c r="E556" i="13"/>
  <c r="E552" i="13"/>
  <c r="E538" i="13"/>
  <c r="E568" i="13"/>
  <c r="E549" i="13"/>
  <c r="E545" i="13"/>
  <c r="E541" i="13"/>
  <c r="E554" i="13"/>
  <c r="E558" i="13"/>
  <c r="E566" i="13"/>
  <c r="E575" i="13"/>
  <c r="E534" i="13"/>
  <c r="E543" i="13"/>
  <c r="E563" i="13"/>
  <c r="E559" i="13"/>
  <c r="E574" i="13"/>
  <c r="E557" i="13"/>
  <c r="E546" i="13"/>
  <c r="E567" i="13"/>
  <c r="E560" i="13"/>
  <c r="E564" i="13"/>
  <c r="E544" i="13"/>
  <c r="E550" i="13"/>
  <c r="E547" i="13"/>
  <c r="E536" i="13"/>
  <c r="E537" i="13"/>
  <c r="E539" i="13"/>
  <c r="E569" i="13"/>
  <c r="E577" i="13"/>
  <c r="E571" i="13"/>
  <c r="E298" i="20"/>
  <c r="F298" i="20" s="1"/>
  <c r="D299" i="20" s="1"/>
  <c r="E299" i="20" s="1"/>
  <c r="F299" i="20" s="1"/>
  <c r="D300" i="20" s="1"/>
  <c r="E300" i="20" s="1"/>
  <c r="F300" i="20" s="1"/>
  <c r="D301" i="20" s="1"/>
  <c r="E301" i="20" s="1"/>
  <c r="F301" i="20" s="1"/>
  <c r="D302" i="20" s="1"/>
  <c r="E302" i="20" s="1"/>
  <c r="F302" i="20" s="1"/>
  <c r="D303" i="20" s="1"/>
  <c r="E303" i="20" s="1"/>
  <c r="F303" i="20" s="1"/>
  <c r="D304" i="20" s="1"/>
  <c r="E304" i="20" s="1"/>
  <c r="F304" i="20" s="1"/>
  <c r="D305" i="20" s="1"/>
  <c r="E305" i="20" s="1"/>
  <c r="F305" i="20" s="1"/>
  <c r="D306" i="20" s="1"/>
  <c r="E306" i="20" s="1"/>
  <c r="F306" i="20" s="1"/>
  <c r="D307" i="20" s="1"/>
  <c r="E307" i="20" s="1"/>
  <c r="F307" i="20" s="1"/>
  <c r="D308" i="20" s="1"/>
  <c r="E308" i="20" s="1"/>
  <c r="F308" i="20" s="1"/>
  <c r="D309" i="20" s="1"/>
  <c r="E309" i="20" s="1"/>
  <c r="F309" i="20" s="1"/>
  <c r="D310" i="20" s="1"/>
  <c r="E310" i="20" s="1"/>
  <c r="F310" i="20" s="1"/>
  <c r="D311" i="20" s="1"/>
  <c r="E311" i="20" s="1"/>
  <c r="F311" i="20" s="1"/>
  <c r="D312" i="20" s="1"/>
  <c r="E312" i="20" s="1"/>
  <c r="F312" i="20" s="1"/>
  <c r="D313" i="20" s="1"/>
  <c r="E313" i="20" s="1"/>
  <c r="F313" i="20" s="1"/>
  <c r="D314" i="20" s="1"/>
  <c r="E314" i="20" s="1"/>
  <c r="F314" i="20" s="1"/>
  <c r="D315" i="20" s="1"/>
  <c r="E315" i="20" s="1"/>
  <c r="F315" i="20" s="1"/>
  <c r="D316" i="20" s="1"/>
  <c r="E316" i="20" s="1"/>
  <c r="F316" i="20" s="1"/>
  <c r="D317" i="20" s="1"/>
  <c r="E317" i="20" s="1"/>
  <c r="F317" i="20" s="1"/>
  <c r="D318" i="20" s="1"/>
  <c r="E318" i="20" s="1"/>
  <c r="F318" i="20" s="1"/>
  <c r="D319" i="20" s="1"/>
  <c r="E319" i="20" s="1"/>
  <c r="F319" i="20" s="1"/>
  <c r="D320" i="20" s="1"/>
  <c r="E320" i="20" s="1"/>
  <c r="F320" i="20" s="1"/>
  <c r="D321" i="20" s="1"/>
  <c r="E321" i="20" s="1"/>
  <c r="F321" i="20" s="1"/>
  <c r="D322" i="20" s="1"/>
  <c r="E322" i="20" s="1"/>
  <c r="F322" i="20" s="1"/>
  <c r="D323" i="20" s="1"/>
  <c r="E323" i="20" s="1"/>
  <c r="F323" i="20" s="1"/>
  <c r="D324" i="20" s="1"/>
  <c r="E324" i="20" s="1"/>
  <c r="F324" i="20" s="1"/>
  <c r="D325" i="20" s="1"/>
  <c r="E325" i="20" s="1"/>
  <c r="F325" i="20" s="1"/>
  <c r="D326" i="20" s="1"/>
  <c r="E326" i="20" s="1"/>
  <c r="F326" i="20" s="1"/>
  <c r="D327" i="20" s="1"/>
  <c r="E327" i="20" s="1"/>
  <c r="F327" i="20" s="1"/>
  <c r="D328" i="20" s="1"/>
  <c r="E328" i="20" s="1"/>
  <c r="F328" i="20" s="1"/>
  <c r="D329" i="20" s="1"/>
  <c r="E329" i="20" s="1"/>
  <c r="F329" i="20" s="1"/>
  <c r="D330" i="20" s="1"/>
  <c r="E330" i="20" s="1"/>
  <c r="F330" i="20" s="1"/>
  <c r="D331" i="20" s="1"/>
  <c r="E331" i="20" s="1"/>
  <c r="F331" i="20" s="1"/>
  <c r="D332" i="20" s="1"/>
  <c r="E332" i="20" s="1"/>
  <c r="F332" i="20" s="1"/>
  <c r="D333" i="20" s="1"/>
  <c r="E333" i="20" s="1"/>
  <c r="F333" i="20" s="1"/>
  <c r="D334" i="20" s="1"/>
  <c r="E334" i="20" s="1"/>
  <c r="F334" i="20" s="1"/>
  <c r="D335" i="20" s="1"/>
  <c r="E335" i="20" s="1"/>
  <c r="F335" i="20" s="1"/>
  <c r="D336" i="20" s="1"/>
  <c r="E336" i="20" s="1"/>
  <c r="F336" i="20" s="1"/>
  <c r="D337" i="20" s="1"/>
  <c r="E337" i="20" s="1"/>
  <c r="F337" i="20" s="1"/>
  <c r="D338" i="20" s="1"/>
  <c r="E338" i="20" s="1"/>
  <c r="F338" i="20" s="1"/>
  <c r="D339" i="20" s="1"/>
  <c r="E339" i="20" s="1"/>
  <c r="F339" i="20" s="1"/>
  <c r="D448" i="13"/>
  <c r="G447" i="13"/>
  <c r="J182" i="2" l="1"/>
  <c r="L182" i="2" s="1"/>
  <c r="J171" i="2"/>
  <c r="J115" i="2"/>
  <c r="L115" i="2" s="1"/>
  <c r="F64" i="13"/>
  <c r="J88" i="2"/>
  <c r="L88" i="2" s="1"/>
  <c r="J86" i="2"/>
  <c r="L86" i="2" s="1"/>
  <c r="J189" i="2"/>
  <c r="L189" i="2" s="1"/>
  <c r="J121" i="2"/>
  <c r="L121" i="2" s="1"/>
  <c r="J123" i="2"/>
  <c r="L123" i="2" s="1"/>
  <c r="J183" i="2"/>
  <c r="L183" i="2" s="1"/>
  <c r="J74" i="2"/>
  <c r="L74" i="2" s="1"/>
  <c r="J87" i="2"/>
  <c r="L87" i="2" s="1"/>
  <c r="J73" i="2"/>
  <c r="L73" i="2" s="1"/>
  <c r="J165" i="2"/>
  <c r="J72" i="2"/>
  <c r="L72" i="2" s="1"/>
  <c r="E190" i="13"/>
  <c r="F190" i="13" s="1"/>
  <c r="D191" i="13" s="1"/>
  <c r="E1054" i="13"/>
  <c r="F1054" i="13" s="1"/>
  <c r="D1055" i="13" s="1"/>
  <c r="D1657" i="13"/>
  <c r="G1656" i="13"/>
  <c r="E2001" i="13"/>
  <c r="F2001" i="13" s="1"/>
  <c r="D2002" i="13" s="1"/>
  <c r="D1570" i="13"/>
  <c r="G1569" i="13"/>
  <c r="E276" i="13"/>
  <c r="F276" i="13" s="1"/>
  <c r="D277" i="13" s="1"/>
  <c r="E1312" i="13"/>
  <c r="F1312" i="13" s="1"/>
  <c r="D1313" i="13" s="1"/>
  <c r="E796" i="13"/>
  <c r="F796" i="13" s="1"/>
  <c r="D797" i="13" s="1"/>
  <c r="E1828" i="13"/>
  <c r="F1828" i="13" s="1"/>
  <c r="D1829" i="13" s="1"/>
  <c r="F533" i="13"/>
  <c r="E593" i="13"/>
  <c r="E103" i="13"/>
  <c r="F103" i="13" s="1"/>
  <c r="D104" i="13" s="1"/>
  <c r="E1226" i="13"/>
  <c r="F1226" i="13" s="1"/>
  <c r="D1227" i="13" s="1"/>
  <c r="E708" i="13"/>
  <c r="F708" i="13" s="1"/>
  <c r="D709" i="13" s="1"/>
  <c r="E448" i="13"/>
  <c r="F448" i="13" s="1"/>
  <c r="D449" i="13" s="1"/>
  <c r="E1914" i="13"/>
  <c r="F1914" i="13" s="1"/>
  <c r="D1915" i="13" s="1"/>
  <c r="E1398" i="13"/>
  <c r="F1398" i="13" s="1"/>
  <c r="D1399" i="13" s="1"/>
  <c r="E882" i="13"/>
  <c r="F882" i="13" s="1"/>
  <c r="D883" i="13" s="1"/>
  <c r="F549" i="20"/>
  <c r="D550" i="20" s="1"/>
  <c r="F550" i="20" s="1"/>
  <c r="D551" i="20" s="1"/>
  <c r="F551" i="20" s="1"/>
  <c r="D552" i="20" s="1"/>
  <c r="F552" i="20" s="1"/>
  <c r="D553" i="20" s="1"/>
  <c r="F553" i="20" s="1"/>
  <c r="D554" i="20" s="1"/>
  <c r="F554" i="20" s="1"/>
  <c r="D555" i="20" s="1"/>
  <c r="F555" i="20" s="1"/>
  <c r="D556" i="20" s="1"/>
  <c r="F556" i="20" s="1"/>
  <c r="D557" i="20" s="1"/>
  <c r="F557" i="20" s="1"/>
  <c r="D558" i="20" s="1"/>
  <c r="F558" i="20" s="1"/>
  <c r="D559" i="20" s="1"/>
  <c r="F559" i="20" s="1"/>
  <c r="D560" i="20" s="1"/>
  <c r="F560" i="20" s="1"/>
  <c r="D561" i="20" s="1"/>
  <c r="F561" i="20" s="1"/>
  <c r="D562" i="20" s="1"/>
  <c r="F562" i="20" s="1"/>
  <c r="D563" i="20" s="1"/>
  <c r="F563" i="20" s="1"/>
  <c r="D564" i="20" s="1"/>
  <c r="F564" i="20" s="1"/>
  <c r="D565" i="20" s="1"/>
  <c r="F565" i="20" s="1"/>
  <c r="D566" i="20" s="1"/>
  <c r="F566" i="20" s="1"/>
  <c r="D567" i="20" s="1"/>
  <c r="F567" i="20" s="1"/>
  <c r="D568" i="20" s="1"/>
  <c r="F568" i="20" s="1"/>
  <c r="D569" i="20" s="1"/>
  <c r="F569" i="20" s="1"/>
  <c r="D570" i="20" s="1"/>
  <c r="F570" i="20" s="1"/>
  <c r="D571" i="20" s="1"/>
  <c r="F571" i="20" s="1"/>
  <c r="D572" i="20" s="1"/>
  <c r="F572" i="20" s="1"/>
  <c r="D573" i="20" s="1"/>
  <c r="F573" i="20" s="1"/>
  <c r="D574" i="20" s="1"/>
  <c r="F574" i="20" s="1"/>
  <c r="D575" i="20" s="1"/>
  <c r="F575" i="20" s="1"/>
  <c r="D576" i="20" s="1"/>
  <c r="F576" i="20" s="1"/>
  <c r="D577" i="20" s="1"/>
  <c r="F577" i="20" s="1"/>
  <c r="D578" i="20" s="1"/>
  <c r="F578" i="20" s="1"/>
  <c r="D579" i="20" s="1"/>
  <c r="F579" i="20" s="1"/>
  <c r="D580" i="20" s="1"/>
  <c r="F580" i="20" s="1"/>
  <c r="D581" i="20" s="1"/>
  <c r="F581" i="20" s="1"/>
  <c r="D582" i="20" s="1"/>
  <c r="F582" i="20" s="1"/>
  <c r="D583" i="20" s="1"/>
  <c r="F583" i="20" s="1"/>
  <c r="D584" i="20" s="1"/>
  <c r="F584" i="20" s="1"/>
  <c r="D585" i="20" s="1"/>
  <c r="F585" i="20" s="1"/>
  <c r="D586" i="20" s="1"/>
  <c r="F586" i="20" s="1"/>
  <c r="D587" i="20" s="1"/>
  <c r="F587" i="20" s="1"/>
  <c r="D588" i="20" s="1"/>
  <c r="F588" i="20" s="1"/>
  <c r="D589" i="20" s="1"/>
  <c r="F589" i="20" s="1"/>
  <c r="D590" i="20" s="1"/>
  <c r="F590" i="20" s="1"/>
  <c r="D591" i="20" s="1"/>
  <c r="F591" i="20" s="1"/>
  <c r="E1140" i="13"/>
  <c r="F1140" i="13" s="1"/>
  <c r="D1141" i="13" s="1"/>
  <c r="E362" i="13"/>
  <c r="F362" i="13" s="1"/>
  <c r="D363" i="13" s="1"/>
  <c r="E620" i="13"/>
  <c r="F620" i="13" s="1"/>
  <c r="E1484" i="13"/>
  <c r="F1484" i="13" s="1"/>
  <c r="D1485" i="13" s="1"/>
  <c r="E1742" i="13"/>
  <c r="F1742" i="13" s="1"/>
  <c r="D1743" i="13" s="1"/>
  <c r="L185" i="2" l="1"/>
  <c r="L77" i="2"/>
  <c r="J77" i="2" s="1"/>
  <c r="L91" i="2"/>
  <c r="L98" i="2"/>
  <c r="L97" i="2"/>
  <c r="G1742" i="13"/>
  <c r="G2001" i="13"/>
  <c r="G1914" i="13"/>
  <c r="G1398" i="13"/>
  <c r="G1140" i="13"/>
  <c r="G796" i="13"/>
  <c r="G190" i="13"/>
  <c r="G448" i="13"/>
  <c r="G103" i="13"/>
  <c r="G1312" i="13"/>
  <c r="G276" i="13"/>
  <c r="G1828" i="13"/>
  <c r="D621" i="13"/>
  <c r="G620" i="13"/>
  <c r="E883" i="13"/>
  <c r="F883" i="13" s="1"/>
  <c r="D884" i="13" s="1"/>
  <c r="G533" i="13"/>
  <c r="D534" i="13"/>
  <c r="E1055" i="13"/>
  <c r="F1055" i="13" s="1"/>
  <c r="D1056" i="13" s="1"/>
  <c r="E709" i="13"/>
  <c r="F709" i="13" s="1"/>
  <c r="D710" i="13" s="1"/>
  <c r="G362" i="13"/>
  <c r="E1399" i="13"/>
  <c r="F1399" i="13" s="1"/>
  <c r="D1400" i="13" s="1"/>
  <c r="G1226" i="13"/>
  <c r="E1829" i="13"/>
  <c r="F1829" i="13" s="1"/>
  <c r="D1830" i="13" s="1"/>
  <c r="E1570" i="13"/>
  <c r="F1570" i="13" s="1"/>
  <c r="D1571" i="13" s="1"/>
  <c r="E191" i="13"/>
  <c r="F191" i="13" s="1"/>
  <c r="D192" i="13" s="1"/>
  <c r="E363" i="13"/>
  <c r="F363" i="13" s="1"/>
  <c r="D364" i="13" s="1"/>
  <c r="E1227" i="13"/>
  <c r="F1227" i="13" s="1"/>
  <c r="D1228" i="13" s="1"/>
  <c r="E1743" i="13"/>
  <c r="F1743" i="13" s="1"/>
  <c r="D1744" i="13" s="1"/>
  <c r="E1915" i="13"/>
  <c r="F1915" i="13" s="1"/>
  <c r="D1916" i="13" s="1"/>
  <c r="E797" i="13"/>
  <c r="F797" i="13" s="1"/>
  <c r="D798" i="13" s="1"/>
  <c r="E2002" i="13"/>
  <c r="F2002" i="13" s="1"/>
  <c r="G1484" i="13"/>
  <c r="E1141" i="13"/>
  <c r="F1141" i="13" s="1"/>
  <c r="D1142" i="13" s="1"/>
  <c r="E104" i="13"/>
  <c r="F104" i="13" s="1"/>
  <c r="D105" i="13" s="1"/>
  <c r="E449" i="13"/>
  <c r="F449" i="13" s="1"/>
  <c r="D450" i="13" s="1"/>
  <c r="E1313" i="13"/>
  <c r="F1313" i="13" s="1"/>
  <c r="D1314" i="13" s="1"/>
  <c r="E1657" i="13"/>
  <c r="F1657" i="13" s="1"/>
  <c r="D1658" i="13" s="1"/>
  <c r="E1485" i="13"/>
  <c r="F1485" i="13" s="1"/>
  <c r="D1486" i="13" s="1"/>
  <c r="G882" i="13"/>
  <c r="G708" i="13"/>
  <c r="E277" i="13"/>
  <c r="F277" i="13" s="1"/>
  <c r="D278" i="13" s="1"/>
  <c r="G1054" i="13"/>
  <c r="H49" i="30" l="1"/>
  <c r="I49" i="30" s="1"/>
  <c r="I48" i="30" s="1"/>
  <c r="I25" i="30" s="1"/>
  <c r="L191" i="2" s="1"/>
  <c r="F41" i="9"/>
  <c r="J167" i="2"/>
  <c r="L167" i="2" s="1"/>
  <c r="J207" i="2"/>
  <c r="L207" i="2" s="1"/>
  <c r="E37" i="13" s="1"/>
  <c r="J124" i="2"/>
  <c r="L124" i="2" s="1"/>
  <c r="J193" i="2"/>
  <c r="L193" i="2" s="1"/>
  <c r="J122" i="2"/>
  <c r="L122" i="2" s="1"/>
  <c r="L100" i="2"/>
  <c r="J100" i="2" s="1"/>
  <c r="G1141" i="13"/>
  <c r="G1570" i="13"/>
  <c r="G883" i="13"/>
  <c r="G363" i="13"/>
  <c r="D2003" i="13"/>
  <c r="E2003" i="13" s="1"/>
  <c r="F2003" i="13" s="1"/>
  <c r="D2004" i="13" s="1"/>
  <c r="G2002" i="13"/>
  <c r="G1657" i="13"/>
  <c r="G1743" i="13"/>
  <c r="G709" i="13"/>
  <c r="G1055" i="13"/>
  <c r="E278" i="13"/>
  <c r="F278" i="13" s="1"/>
  <c r="D279" i="13" s="1"/>
  <c r="G1313" i="13"/>
  <c r="G1915" i="13"/>
  <c r="E1228" i="13"/>
  <c r="F1228" i="13" s="1"/>
  <c r="G1829" i="13"/>
  <c r="E1056" i="13"/>
  <c r="F1056" i="13" s="1"/>
  <c r="D1057" i="13" s="1"/>
  <c r="F534" i="13"/>
  <c r="D535" i="13" s="1"/>
  <c r="E1830" i="13"/>
  <c r="F1830" i="13" s="1"/>
  <c r="D1831" i="13" s="1"/>
  <c r="G1485" i="13"/>
  <c r="G449" i="13"/>
  <c r="E1744" i="13"/>
  <c r="F1744" i="13" s="1"/>
  <c r="D1745" i="13" s="1"/>
  <c r="G191" i="13"/>
  <c r="G1399" i="13"/>
  <c r="E450" i="13"/>
  <c r="F450" i="13" s="1"/>
  <c r="D451" i="13" s="1"/>
  <c r="E1486" i="13"/>
  <c r="F1486" i="13" s="1"/>
  <c r="D1487" i="13" s="1"/>
  <c r="E192" i="13"/>
  <c r="F192" i="13" s="1"/>
  <c r="D193" i="13" s="1"/>
  <c r="E1400" i="13"/>
  <c r="F1400" i="13" s="1"/>
  <c r="G104" i="13"/>
  <c r="E884" i="13"/>
  <c r="F884" i="13" s="1"/>
  <c r="D885" i="13" s="1"/>
  <c r="E1314" i="13"/>
  <c r="F1314" i="13" s="1"/>
  <c r="D1315" i="13" s="1"/>
  <c r="E1658" i="13"/>
  <c r="F1658" i="13" s="1"/>
  <c r="D1659" i="13" s="1"/>
  <c r="E798" i="13"/>
  <c r="F798" i="13" s="1"/>
  <c r="D799" i="13" s="1"/>
  <c r="E1916" i="13"/>
  <c r="F1916" i="13" s="1"/>
  <c r="E364" i="13"/>
  <c r="F364" i="13" s="1"/>
  <c r="D365" i="13" s="1"/>
  <c r="E105" i="13"/>
  <c r="F105" i="13" s="1"/>
  <c r="D106" i="13" s="1"/>
  <c r="G277" i="13"/>
  <c r="E1142" i="13"/>
  <c r="F1142" i="13" s="1"/>
  <c r="D1143" i="13" s="1"/>
  <c r="G797" i="13"/>
  <c r="G1227" i="13"/>
  <c r="E1571" i="13"/>
  <c r="F1571" i="13" s="1"/>
  <c r="D1572" i="13" s="1"/>
  <c r="E710" i="13"/>
  <c r="F710" i="13" s="1"/>
  <c r="D711" i="13" s="1"/>
  <c r="E621" i="13"/>
  <c r="F621" i="13" s="1"/>
  <c r="L194" i="2" l="1"/>
  <c r="E41" i="9"/>
  <c r="E43" i="9" s="1"/>
  <c r="F43" i="9"/>
  <c r="G168" i="2" s="1"/>
  <c r="L168" i="2" s="1"/>
  <c r="L127" i="2"/>
  <c r="F37" i="20"/>
  <c r="G1486" i="13"/>
  <c r="G364" i="13"/>
  <c r="G798" i="13"/>
  <c r="G2003" i="13"/>
  <c r="G884" i="13"/>
  <c r="D622" i="13"/>
  <c r="E622" i="13" s="1"/>
  <c r="F622" i="13" s="1"/>
  <c r="D623" i="13" s="1"/>
  <c r="G621" i="13"/>
  <c r="G1658" i="13"/>
  <c r="G450" i="13"/>
  <c r="D1917" i="13"/>
  <c r="E1917" i="13" s="1"/>
  <c r="F1917" i="13" s="1"/>
  <c r="D1918" i="13" s="1"/>
  <c r="G1916" i="13"/>
  <c r="G1744" i="13"/>
  <c r="G1314" i="13"/>
  <c r="D1229" i="13"/>
  <c r="G1228" i="13"/>
  <c r="D1401" i="13"/>
  <c r="G1400" i="13"/>
  <c r="E799" i="13"/>
  <c r="F799" i="13" s="1"/>
  <c r="D800" i="13" s="1"/>
  <c r="G192" i="13"/>
  <c r="G1830" i="13"/>
  <c r="E193" i="13"/>
  <c r="F193" i="13" s="1"/>
  <c r="D194" i="13" s="1"/>
  <c r="E1831" i="13"/>
  <c r="F1831" i="13" s="1"/>
  <c r="D1832" i="13" s="1"/>
  <c r="E1745" i="13"/>
  <c r="F1745" i="13" s="1"/>
  <c r="D1746" i="13" s="1"/>
  <c r="F535" i="13"/>
  <c r="D536" i="13" s="1"/>
  <c r="E106" i="13"/>
  <c r="F106" i="13" s="1"/>
  <c r="D107" i="13" s="1"/>
  <c r="E365" i="13"/>
  <c r="F365" i="13" s="1"/>
  <c r="D366" i="13" s="1"/>
  <c r="G534" i="13"/>
  <c r="G1142" i="13"/>
  <c r="E1315" i="13"/>
  <c r="F1315" i="13" s="1"/>
  <c r="D1316" i="13" s="1"/>
  <c r="E1487" i="13"/>
  <c r="F1487" i="13" s="1"/>
  <c r="D1488" i="13" s="1"/>
  <c r="E2004" i="13"/>
  <c r="F2004" i="13" s="1"/>
  <c r="D2005" i="13" s="1"/>
  <c r="E1057" i="13"/>
  <c r="F1057" i="13" s="1"/>
  <c r="D1058" i="13" s="1"/>
  <c r="E279" i="13"/>
  <c r="F279" i="13" s="1"/>
  <c r="D280" i="13" s="1"/>
  <c r="E1143" i="13"/>
  <c r="F1143" i="13" s="1"/>
  <c r="D1144" i="13" s="1"/>
  <c r="E711" i="13"/>
  <c r="F711" i="13" s="1"/>
  <c r="D712" i="13" s="1"/>
  <c r="G1056" i="13"/>
  <c r="G278" i="13"/>
  <c r="E1572" i="13"/>
  <c r="F1572" i="13" s="1"/>
  <c r="D1573" i="13" s="1"/>
  <c r="G1571" i="13"/>
  <c r="E1659" i="13"/>
  <c r="F1659" i="13" s="1"/>
  <c r="D1660" i="13" s="1"/>
  <c r="G710" i="13"/>
  <c r="G105" i="13"/>
  <c r="E885" i="13"/>
  <c r="F885" i="13" s="1"/>
  <c r="D886" i="13" s="1"/>
  <c r="E451" i="13"/>
  <c r="F451" i="13" s="1"/>
  <c r="D452" i="13" s="1"/>
  <c r="G1572" i="13" l="1"/>
  <c r="G1831" i="13"/>
  <c r="G799" i="13"/>
  <c r="G885" i="13"/>
  <c r="G1659" i="13"/>
  <c r="G279" i="13"/>
  <c r="G711" i="13"/>
  <c r="G106" i="13"/>
  <c r="G1315" i="13"/>
  <c r="G535" i="13"/>
  <c r="G451" i="13"/>
  <c r="G193" i="13"/>
  <c r="G1057" i="13"/>
  <c r="G365" i="13"/>
  <c r="G622" i="13"/>
  <c r="G1917" i="13"/>
  <c r="G1745" i="13"/>
  <c r="E2005" i="13"/>
  <c r="F2005" i="13" s="1"/>
  <c r="D2006" i="13" s="1"/>
  <c r="E1488" i="13"/>
  <c r="F1488" i="13" s="1"/>
  <c r="D1489" i="13" s="1"/>
  <c r="E1660" i="13"/>
  <c r="F1660" i="13" s="1"/>
  <c r="D1661" i="13" s="1"/>
  <c r="G1487" i="13"/>
  <c r="E366" i="13"/>
  <c r="F366" i="13" s="1"/>
  <c r="D367" i="13" s="1"/>
  <c r="E1832" i="13"/>
  <c r="F1832" i="13" s="1"/>
  <c r="D1833" i="13" s="1"/>
  <c r="E800" i="13"/>
  <c r="F800" i="13" s="1"/>
  <c r="D801" i="13" s="1"/>
  <c r="G1143" i="13"/>
  <c r="E280" i="13"/>
  <c r="F280" i="13" s="1"/>
  <c r="D281" i="13" s="1"/>
  <c r="E623" i="13"/>
  <c r="F623" i="13" s="1"/>
  <c r="D624" i="13" s="1"/>
  <c r="E1746" i="13"/>
  <c r="F1746" i="13" s="1"/>
  <c r="D1747" i="13" s="1"/>
  <c r="E452" i="13"/>
  <c r="F452" i="13" s="1"/>
  <c r="D453" i="13" s="1"/>
  <c r="E1316" i="13"/>
  <c r="F1316" i="13" s="1"/>
  <c r="D1317" i="13" s="1"/>
  <c r="E107" i="13"/>
  <c r="F107" i="13" s="1"/>
  <c r="D108" i="13" s="1"/>
  <c r="E1401" i="13"/>
  <c r="F1401" i="13" s="1"/>
  <c r="D1402" i="13" s="1"/>
  <c r="E1918" i="13"/>
  <c r="F1918" i="13" s="1"/>
  <c r="D1919" i="13" s="1"/>
  <c r="E712" i="13"/>
  <c r="F712" i="13" s="1"/>
  <c r="D713" i="13" s="1"/>
  <c r="E1144" i="13"/>
  <c r="F1144" i="13" s="1"/>
  <c r="D1145" i="13" s="1"/>
  <c r="E886" i="13"/>
  <c r="F886" i="13" s="1"/>
  <c r="D887" i="13" s="1"/>
  <c r="E1573" i="13"/>
  <c r="F1573" i="13" s="1"/>
  <c r="D1574" i="13" s="1"/>
  <c r="E1058" i="13"/>
  <c r="F1058" i="13" s="1"/>
  <c r="D1059" i="13" s="1"/>
  <c r="G2004" i="13"/>
  <c r="F536" i="13"/>
  <c r="D537" i="13" s="1"/>
  <c r="E194" i="13"/>
  <c r="F194" i="13" s="1"/>
  <c r="D195" i="13" s="1"/>
  <c r="E1229" i="13"/>
  <c r="F1229" i="13" s="1"/>
  <c r="D1230" i="13" s="1"/>
  <c r="G1660" i="13" l="1"/>
  <c r="G1746" i="13"/>
  <c r="G1144" i="13"/>
  <c r="G886" i="13"/>
  <c r="G194" i="13"/>
  <c r="G107" i="13"/>
  <c r="G712" i="13"/>
  <c r="G452" i="13"/>
  <c r="G1832" i="13"/>
  <c r="G1488" i="13"/>
  <c r="G1401" i="13"/>
  <c r="G1316" i="13"/>
  <c r="G623" i="13"/>
  <c r="G1058" i="13"/>
  <c r="E1919" i="13"/>
  <c r="F1919" i="13" s="1"/>
  <c r="D1920" i="13" s="1"/>
  <c r="E2006" i="13"/>
  <c r="F2006" i="13" s="1"/>
  <c r="D2007" i="13" s="1"/>
  <c r="E1230" i="13"/>
  <c r="F1230" i="13" s="1"/>
  <c r="D1231" i="13" s="1"/>
  <c r="G1573" i="13"/>
  <c r="G1918" i="13"/>
  <c r="G280" i="13"/>
  <c r="E367" i="13"/>
  <c r="F367" i="13" s="1"/>
  <c r="D368" i="13" s="1"/>
  <c r="G2005" i="13"/>
  <c r="E281" i="13"/>
  <c r="F281" i="13" s="1"/>
  <c r="D282" i="13" s="1"/>
  <c r="E195" i="13"/>
  <c r="F195" i="13" s="1"/>
  <c r="D196" i="13" s="1"/>
  <c r="G536" i="13"/>
  <c r="E887" i="13"/>
  <c r="F887" i="13" s="1"/>
  <c r="D888" i="13" s="1"/>
  <c r="E1402" i="13"/>
  <c r="F1402" i="13" s="1"/>
  <c r="D1403" i="13" s="1"/>
  <c r="E453" i="13"/>
  <c r="F453" i="13" s="1"/>
  <c r="D454" i="13" s="1"/>
  <c r="G800" i="13"/>
  <c r="E1661" i="13"/>
  <c r="F1661" i="13" s="1"/>
  <c r="D1662" i="13" s="1"/>
  <c r="F537" i="13"/>
  <c r="D538" i="13" s="1"/>
  <c r="E801" i="13"/>
  <c r="F801" i="13" s="1"/>
  <c r="D802" i="13" s="1"/>
  <c r="E1574" i="13"/>
  <c r="F1574" i="13" s="1"/>
  <c r="D1575" i="13" s="1"/>
  <c r="E1145" i="13"/>
  <c r="F1145" i="13" s="1"/>
  <c r="D1146" i="13" s="1"/>
  <c r="E108" i="13"/>
  <c r="F108" i="13" s="1"/>
  <c r="D109" i="13" s="1"/>
  <c r="E1747" i="13"/>
  <c r="F1747" i="13" s="1"/>
  <c r="D1748" i="13" s="1"/>
  <c r="E1833" i="13"/>
  <c r="F1833" i="13" s="1"/>
  <c r="D1834" i="13" s="1"/>
  <c r="G1229" i="13"/>
  <c r="E1059" i="13"/>
  <c r="F1059" i="13" s="1"/>
  <c r="D1060" i="13" s="1"/>
  <c r="E713" i="13"/>
  <c r="F713" i="13" s="1"/>
  <c r="D714" i="13" s="1"/>
  <c r="E1317" i="13"/>
  <c r="F1317" i="13" s="1"/>
  <c r="D1318" i="13" s="1"/>
  <c r="E624" i="13"/>
  <c r="F624" i="13" s="1"/>
  <c r="D625" i="13" s="1"/>
  <c r="G366" i="13"/>
  <c r="E1489" i="13"/>
  <c r="F1489" i="13" s="1"/>
  <c r="D1490" i="13" s="1"/>
  <c r="G367" i="13" l="1"/>
  <c r="G1145" i="13"/>
  <c r="G1402" i="13"/>
  <c r="G1489" i="13"/>
  <c r="G1747" i="13"/>
  <c r="G1317" i="13"/>
  <c r="G1661" i="13"/>
  <c r="G713" i="13"/>
  <c r="G537" i="13"/>
  <c r="G1833" i="13"/>
  <c r="G1919" i="13"/>
  <c r="G281" i="13"/>
  <c r="G1230" i="13"/>
  <c r="G801" i="13"/>
  <c r="G453" i="13"/>
  <c r="G2006" i="13"/>
  <c r="E1060" i="13"/>
  <c r="F1060" i="13" s="1"/>
  <c r="D1061" i="13" s="1"/>
  <c r="E1575" i="13"/>
  <c r="F1575" i="13" s="1"/>
  <c r="D1576" i="13" s="1"/>
  <c r="E454" i="13"/>
  <c r="F454" i="13" s="1"/>
  <c r="D455" i="13" s="1"/>
  <c r="E196" i="13"/>
  <c r="F196" i="13" s="1"/>
  <c r="D197" i="13" s="1"/>
  <c r="G624" i="13"/>
  <c r="E1834" i="13"/>
  <c r="F1834" i="13" s="1"/>
  <c r="D1835" i="13" s="1"/>
  <c r="E1748" i="13"/>
  <c r="F1748" i="13" s="1"/>
  <c r="D1749" i="13" s="1"/>
  <c r="E802" i="13"/>
  <c r="F802" i="13" s="1"/>
  <c r="D803" i="13" s="1"/>
  <c r="E282" i="13"/>
  <c r="F282" i="13" s="1"/>
  <c r="D283" i="13" s="1"/>
  <c r="E1231" i="13"/>
  <c r="F1231" i="13" s="1"/>
  <c r="D1232" i="13" s="1"/>
  <c r="E625" i="13"/>
  <c r="F625" i="13" s="1"/>
  <c r="D626" i="13" s="1"/>
  <c r="G108" i="13"/>
  <c r="E1403" i="13"/>
  <c r="F1403" i="13" s="1"/>
  <c r="D1404" i="13" s="1"/>
  <c r="E109" i="13"/>
  <c r="F109" i="13" s="1"/>
  <c r="D110" i="13" s="1"/>
  <c r="F538" i="13"/>
  <c r="D539" i="13" s="1"/>
  <c r="E888" i="13"/>
  <c r="F888" i="13" s="1"/>
  <c r="D889" i="13" s="1"/>
  <c r="E2007" i="13"/>
  <c r="F2007" i="13" s="1"/>
  <c r="E1318" i="13"/>
  <c r="F1318" i="13" s="1"/>
  <c r="D1319" i="13" s="1"/>
  <c r="G887" i="13"/>
  <c r="E368" i="13"/>
  <c r="F368" i="13" s="1"/>
  <c r="D369" i="13" s="1"/>
  <c r="E714" i="13"/>
  <c r="F714" i="13" s="1"/>
  <c r="D715" i="13" s="1"/>
  <c r="E1146" i="13"/>
  <c r="F1146" i="13" s="1"/>
  <c r="D1147" i="13" s="1"/>
  <c r="E1662" i="13"/>
  <c r="F1662" i="13" s="1"/>
  <c r="D1663" i="13" s="1"/>
  <c r="E1490" i="13"/>
  <c r="F1490" i="13" s="1"/>
  <c r="D1491" i="13" s="1"/>
  <c r="G1059" i="13"/>
  <c r="G1574" i="13"/>
  <c r="G195" i="13"/>
  <c r="E1920" i="13"/>
  <c r="F1920" i="13" s="1"/>
  <c r="D1921" i="13" s="1"/>
  <c r="G1403" i="13" l="1"/>
  <c r="G1146" i="13"/>
  <c r="G1920" i="13"/>
  <c r="G888" i="13"/>
  <c r="D2008" i="13"/>
  <c r="E2008" i="13" s="1"/>
  <c r="F2008" i="13" s="1"/>
  <c r="D2009" i="13" s="1"/>
  <c r="G2007" i="13"/>
  <c r="G1060" i="13"/>
  <c r="G282" i="13"/>
  <c r="G1662" i="13"/>
  <c r="G1834" i="13"/>
  <c r="G802" i="13"/>
  <c r="G368" i="13"/>
  <c r="G1318" i="13"/>
  <c r="E1921" i="13"/>
  <c r="F1921" i="13" s="1"/>
  <c r="D1922" i="13" s="1"/>
  <c r="E1147" i="13"/>
  <c r="F1147" i="13" s="1"/>
  <c r="D1148" i="13" s="1"/>
  <c r="E1319" i="13"/>
  <c r="F1319" i="13" s="1"/>
  <c r="D1320" i="13" s="1"/>
  <c r="E803" i="13"/>
  <c r="F803" i="13" s="1"/>
  <c r="D804" i="13" s="1"/>
  <c r="G454" i="13"/>
  <c r="E889" i="13"/>
  <c r="F889" i="13" s="1"/>
  <c r="D890" i="13" s="1"/>
  <c r="G625" i="13"/>
  <c r="G1748" i="13"/>
  <c r="E1835" i="13"/>
  <c r="F1835" i="13" s="1"/>
  <c r="D1836" i="13" s="1"/>
  <c r="G1575" i="13"/>
  <c r="G714" i="13"/>
  <c r="G538" i="13"/>
  <c r="E626" i="13"/>
  <c r="F626" i="13" s="1"/>
  <c r="D627" i="13" s="1"/>
  <c r="E1749" i="13"/>
  <c r="F1749" i="13" s="1"/>
  <c r="D1750" i="13" s="1"/>
  <c r="E1576" i="13"/>
  <c r="F1576" i="13" s="1"/>
  <c r="D1577" i="13" s="1"/>
  <c r="G1490" i="13"/>
  <c r="E715" i="13"/>
  <c r="F715" i="13" s="1"/>
  <c r="D716" i="13" s="1"/>
  <c r="F539" i="13"/>
  <c r="D540" i="13" s="1"/>
  <c r="E1232" i="13"/>
  <c r="F1232" i="13" s="1"/>
  <c r="D1233" i="13" s="1"/>
  <c r="E1491" i="13"/>
  <c r="F1491" i="13" s="1"/>
  <c r="D1492" i="13" s="1"/>
  <c r="G109" i="13"/>
  <c r="E1404" i="13"/>
  <c r="F1404" i="13" s="1"/>
  <c r="D1405" i="13" s="1"/>
  <c r="G1231" i="13"/>
  <c r="E1663" i="13"/>
  <c r="F1663" i="13" s="1"/>
  <c r="D1664" i="13" s="1"/>
  <c r="E369" i="13"/>
  <c r="F369" i="13" s="1"/>
  <c r="D370" i="13" s="1"/>
  <c r="E110" i="13"/>
  <c r="F110" i="13" s="1"/>
  <c r="D111" i="13" s="1"/>
  <c r="G196" i="13"/>
  <c r="E455" i="13"/>
  <c r="F455" i="13" s="1"/>
  <c r="D456" i="13" s="1"/>
  <c r="E283" i="13"/>
  <c r="F283" i="13" s="1"/>
  <c r="D284" i="13" s="1"/>
  <c r="E197" i="13"/>
  <c r="F197" i="13" s="1"/>
  <c r="D198" i="13" s="1"/>
  <c r="E1061" i="13"/>
  <c r="F1061" i="13" s="1"/>
  <c r="D1062" i="13" s="1"/>
  <c r="G283" i="13" l="1"/>
  <c r="G455" i="13"/>
  <c r="G1835" i="13"/>
  <c r="G1491" i="13"/>
  <c r="G1404" i="13"/>
  <c r="G1749" i="13"/>
  <c r="G1147" i="13"/>
  <c r="G715" i="13"/>
  <c r="E1062" i="13"/>
  <c r="F1062" i="13" s="1"/>
  <c r="D1063" i="13" s="1"/>
  <c r="E198" i="13"/>
  <c r="F198" i="13" s="1"/>
  <c r="D199" i="13" s="1"/>
  <c r="G197" i="13"/>
  <c r="E456" i="13"/>
  <c r="F456" i="13" s="1"/>
  <c r="D457" i="13" s="1"/>
  <c r="E716" i="13"/>
  <c r="F716" i="13" s="1"/>
  <c r="D717" i="13" s="1"/>
  <c r="E1577" i="13"/>
  <c r="F1577" i="13" s="1"/>
  <c r="D1578" i="13" s="1"/>
  <c r="G626" i="13"/>
  <c r="G803" i="13"/>
  <c r="G1921" i="13"/>
  <c r="E627" i="13"/>
  <c r="F627" i="13" s="1"/>
  <c r="D628" i="13" s="1"/>
  <c r="E1320" i="13"/>
  <c r="F1320" i="13" s="1"/>
  <c r="D1321" i="13" s="1"/>
  <c r="E284" i="13"/>
  <c r="F284" i="13" s="1"/>
  <c r="D285" i="13" s="1"/>
  <c r="G1663" i="13"/>
  <c r="G1319" i="13"/>
  <c r="E804" i="13"/>
  <c r="F804" i="13" s="1"/>
  <c r="D805" i="13" s="1"/>
  <c r="E111" i="13"/>
  <c r="F111" i="13" s="1"/>
  <c r="D112" i="13" s="1"/>
  <c r="E1664" i="13"/>
  <c r="F1664" i="13" s="1"/>
  <c r="D1665" i="13" s="1"/>
  <c r="G1061" i="13"/>
  <c r="G2008" i="13"/>
  <c r="G110" i="13"/>
  <c r="E1492" i="13"/>
  <c r="F1492" i="13" s="1"/>
  <c r="D1493" i="13" s="1"/>
  <c r="G539" i="13"/>
  <c r="E890" i="13"/>
  <c r="F890" i="13" s="1"/>
  <c r="D891" i="13" s="1"/>
  <c r="E2009" i="13"/>
  <c r="F2009" i="13" s="1"/>
  <c r="D2010" i="13" s="1"/>
  <c r="G369" i="13"/>
  <c r="E1405" i="13"/>
  <c r="F1405" i="13" s="1"/>
  <c r="D1406" i="13" s="1"/>
  <c r="E1233" i="13"/>
  <c r="F1233" i="13" s="1"/>
  <c r="D1234" i="13" s="1"/>
  <c r="F540" i="13"/>
  <c r="D541" i="13" s="1"/>
  <c r="G889" i="13"/>
  <c r="E1922" i="13"/>
  <c r="F1922" i="13" s="1"/>
  <c r="D1923" i="13" s="1"/>
  <c r="E370" i="13"/>
  <c r="F370" i="13" s="1"/>
  <c r="D371" i="13" s="1"/>
  <c r="G1232" i="13"/>
  <c r="G1576" i="13"/>
  <c r="E1750" i="13"/>
  <c r="F1750" i="13" s="1"/>
  <c r="D1751" i="13" s="1"/>
  <c r="E1836" i="13"/>
  <c r="F1836" i="13" s="1"/>
  <c r="D1837" i="13" s="1"/>
  <c r="E1148" i="13"/>
  <c r="F1148" i="13" s="1"/>
  <c r="D1149" i="13" s="1"/>
  <c r="G540" i="13" l="1"/>
  <c r="G1664" i="13"/>
  <c r="G111" i="13"/>
  <c r="G1062" i="13"/>
  <c r="G456" i="13"/>
  <c r="G2009" i="13"/>
  <c r="G1148" i="13"/>
  <c r="G1233" i="13"/>
  <c r="G284" i="13"/>
  <c r="G1320" i="13"/>
  <c r="G627" i="13"/>
  <c r="G198" i="13"/>
  <c r="G1922" i="13"/>
  <c r="G1492" i="13"/>
  <c r="G1577" i="13"/>
  <c r="G370" i="13"/>
  <c r="G716" i="13"/>
  <c r="E1578" i="13"/>
  <c r="F1578" i="13" s="1"/>
  <c r="D1579" i="13" s="1"/>
  <c r="E805" i="13"/>
  <c r="F805" i="13" s="1"/>
  <c r="D806" i="13" s="1"/>
  <c r="E1406" i="13"/>
  <c r="F1406" i="13" s="1"/>
  <c r="D1407" i="13" s="1"/>
  <c r="E1063" i="13"/>
  <c r="F1063" i="13" s="1"/>
  <c r="D1064" i="13" s="1"/>
  <c r="G1750" i="13"/>
  <c r="E1234" i="13"/>
  <c r="F1234" i="13" s="1"/>
  <c r="D1235" i="13" s="1"/>
  <c r="G1405" i="13"/>
  <c r="E457" i="13"/>
  <c r="F457" i="13" s="1"/>
  <c r="D458" i="13" s="1"/>
  <c r="E628" i="13"/>
  <c r="F628" i="13" s="1"/>
  <c r="D629" i="13" s="1"/>
  <c r="E717" i="13"/>
  <c r="F717" i="13" s="1"/>
  <c r="D718" i="13" s="1"/>
  <c r="E1923" i="13"/>
  <c r="F1923" i="13" s="1"/>
  <c r="D1924" i="13" s="1"/>
  <c r="E1493" i="13"/>
  <c r="F1493" i="13" s="1"/>
  <c r="D1494" i="13" s="1"/>
  <c r="E112" i="13"/>
  <c r="F112" i="13" s="1"/>
  <c r="D113" i="13" s="1"/>
  <c r="E1837" i="13"/>
  <c r="F1837" i="13" s="1"/>
  <c r="D1838" i="13" s="1"/>
  <c r="E1751" i="13"/>
  <c r="F1751" i="13" s="1"/>
  <c r="D1752" i="13" s="1"/>
  <c r="E371" i="13"/>
  <c r="F371" i="13" s="1"/>
  <c r="D372" i="13" s="1"/>
  <c r="E2010" i="13"/>
  <c r="F2010" i="13" s="1"/>
  <c r="D2011" i="13" s="1"/>
  <c r="E891" i="13"/>
  <c r="F891" i="13" s="1"/>
  <c r="D892" i="13" s="1"/>
  <c r="E1149" i="13"/>
  <c r="F1149" i="13" s="1"/>
  <c r="D1150" i="13" s="1"/>
  <c r="G1836" i="13"/>
  <c r="F541" i="13"/>
  <c r="D542" i="13" s="1"/>
  <c r="G890" i="13"/>
  <c r="E1665" i="13"/>
  <c r="F1665" i="13" s="1"/>
  <c r="D1666" i="13" s="1"/>
  <c r="G804" i="13"/>
  <c r="E285" i="13"/>
  <c r="F285" i="13" s="1"/>
  <c r="D286" i="13" s="1"/>
  <c r="E1321" i="13"/>
  <c r="F1321" i="13" s="1"/>
  <c r="D1322" i="13" s="1"/>
  <c r="E199" i="13"/>
  <c r="F199" i="13" s="1"/>
  <c r="D200" i="13" s="1"/>
  <c r="G1063" i="13" l="1"/>
  <c r="G1234" i="13"/>
  <c r="G717" i="13"/>
  <c r="G1837" i="13"/>
  <c r="G1665" i="13"/>
  <c r="G1406" i="13"/>
  <c r="G805" i="13"/>
  <c r="G2010" i="13"/>
  <c r="G371" i="13"/>
  <c r="G541" i="13"/>
  <c r="G1321" i="13"/>
  <c r="G891" i="13"/>
  <c r="G1751" i="13"/>
  <c r="E200" i="13"/>
  <c r="F200" i="13" s="1"/>
  <c r="D201" i="13" s="1"/>
  <c r="E892" i="13"/>
  <c r="F892" i="13" s="1"/>
  <c r="D893" i="13" s="1"/>
  <c r="E1235" i="13"/>
  <c r="F1235" i="13" s="1"/>
  <c r="D1236" i="13" s="1"/>
  <c r="G1149" i="13"/>
  <c r="E1752" i="13"/>
  <c r="F1752" i="13" s="1"/>
  <c r="D1753" i="13" s="1"/>
  <c r="G1923" i="13"/>
  <c r="G628" i="13"/>
  <c r="E113" i="13"/>
  <c r="F113" i="13" s="1"/>
  <c r="D114" i="13" s="1"/>
  <c r="E1924" i="13"/>
  <c r="F1924" i="13" s="1"/>
  <c r="D1925" i="13" s="1"/>
  <c r="E629" i="13"/>
  <c r="F629" i="13" s="1"/>
  <c r="D630" i="13" s="1"/>
  <c r="E806" i="13"/>
  <c r="F806" i="13" s="1"/>
  <c r="D807" i="13" s="1"/>
  <c r="E286" i="13"/>
  <c r="F286" i="13" s="1"/>
  <c r="D287" i="13" s="1"/>
  <c r="E458" i="13"/>
  <c r="F458" i="13" s="1"/>
  <c r="D459" i="13" s="1"/>
  <c r="E1064" i="13"/>
  <c r="F1064" i="13" s="1"/>
  <c r="D1065" i="13" s="1"/>
  <c r="E1150" i="13"/>
  <c r="F1150" i="13" s="1"/>
  <c r="D1151" i="13" s="1"/>
  <c r="G112" i="13"/>
  <c r="E1494" i="13"/>
  <c r="F1494" i="13" s="1"/>
  <c r="D1495" i="13" s="1"/>
  <c r="G457" i="13"/>
  <c r="E1407" i="13"/>
  <c r="F1407" i="13" s="1"/>
  <c r="D1408" i="13" s="1"/>
  <c r="E1322" i="13"/>
  <c r="F1322" i="13" s="1"/>
  <c r="D1323" i="13" s="1"/>
  <c r="E1838" i="13"/>
  <c r="F1838" i="13" s="1"/>
  <c r="D1839" i="13" s="1"/>
  <c r="G1493" i="13"/>
  <c r="E1579" i="13"/>
  <c r="F1579" i="13" s="1"/>
  <c r="D1580" i="13" s="1"/>
  <c r="E1666" i="13"/>
  <c r="F1666" i="13" s="1"/>
  <c r="D1667" i="13" s="1"/>
  <c r="G199" i="13"/>
  <c r="G285" i="13"/>
  <c r="F542" i="13"/>
  <c r="D543" i="13" s="1"/>
  <c r="E2011" i="13"/>
  <c r="F2011" i="13" s="1"/>
  <c r="D2012" i="13" s="1"/>
  <c r="E372" i="13"/>
  <c r="F372" i="13" s="1"/>
  <c r="D373" i="13" s="1"/>
  <c r="E718" i="13"/>
  <c r="F718" i="13" s="1"/>
  <c r="D719" i="13" s="1"/>
  <c r="G1578" i="13"/>
  <c r="G1494" i="13" l="1"/>
  <c r="G1150" i="13"/>
  <c r="G1666" i="13"/>
  <c r="G892" i="13"/>
  <c r="G200" i="13"/>
  <c r="G286" i="13"/>
  <c r="G113" i="13"/>
  <c r="G1407" i="13"/>
  <c r="G1235" i="13"/>
  <c r="G2011" i="13"/>
  <c r="G1064" i="13"/>
  <c r="G1752" i="13"/>
  <c r="G1924" i="13"/>
  <c r="G629" i="13"/>
  <c r="E719" i="13"/>
  <c r="F719" i="13" s="1"/>
  <c r="D720" i="13" s="1"/>
  <c r="G542" i="13"/>
  <c r="G1579" i="13"/>
  <c r="E1323" i="13"/>
  <c r="F1323" i="13" s="1"/>
  <c r="D1324" i="13" s="1"/>
  <c r="G458" i="13"/>
  <c r="E1236" i="13"/>
  <c r="F1236" i="13" s="1"/>
  <c r="D1237" i="13" s="1"/>
  <c r="F543" i="13"/>
  <c r="D544" i="13" s="1"/>
  <c r="E1151" i="13"/>
  <c r="F1151" i="13" s="1"/>
  <c r="D1152" i="13" s="1"/>
  <c r="E287" i="13"/>
  <c r="F287" i="13" s="1"/>
  <c r="D288" i="13" s="1"/>
  <c r="E630" i="13"/>
  <c r="F630" i="13" s="1"/>
  <c r="D631" i="13" s="1"/>
  <c r="E1925" i="13"/>
  <c r="F1925" i="13" s="1"/>
  <c r="D1926" i="13" s="1"/>
  <c r="E1580" i="13"/>
  <c r="F1580" i="13" s="1"/>
  <c r="D1581" i="13" s="1"/>
  <c r="E459" i="13"/>
  <c r="F459" i="13" s="1"/>
  <c r="D460" i="13" s="1"/>
  <c r="E373" i="13"/>
  <c r="F373" i="13" s="1"/>
  <c r="D374" i="13" s="1"/>
  <c r="E1667" i="13"/>
  <c r="F1667" i="13" s="1"/>
  <c r="D1668" i="13" s="1"/>
  <c r="G1838" i="13"/>
  <c r="E1408" i="13"/>
  <c r="F1408" i="13" s="1"/>
  <c r="D1409" i="13" s="1"/>
  <c r="E1495" i="13"/>
  <c r="F1495" i="13" s="1"/>
  <c r="D1496" i="13" s="1"/>
  <c r="E1065" i="13"/>
  <c r="F1065" i="13" s="1"/>
  <c r="D1066" i="13" s="1"/>
  <c r="G806" i="13"/>
  <c r="G372" i="13"/>
  <c r="E1839" i="13"/>
  <c r="F1839" i="13" s="1"/>
  <c r="D1840" i="13" s="1"/>
  <c r="E807" i="13"/>
  <c r="F807" i="13" s="1"/>
  <c r="D808" i="13" s="1"/>
  <c r="E114" i="13"/>
  <c r="F114" i="13" s="1"/>
  <c r="D115" i="13" s="1"/>
  <c r="E1753" i="13"/>
  <c r="F1753" i="13" s="1"/>
  <c r="D1754" i="13" s="1"/>
  <c r="E893" i="13"/>
  <c r="F893" i="13" s="1"/>
  <c r="D894" i="13" s="1"/>
  <c r="E2012" i="13"/>
  <c r="F2012" i="13" s="1"/>
  <c r="D2013" i="13" s="1"/>
  <c r="G718" i="13"/>
  <c r="G1322" i="13"/>
  <c r="E201" i="13"/>
  <c r="F201" i="13" s="1"/>
  <c r="D202" i="13" s="1"/>
  <c r="G1580" i="13" l="1"/>
  <c r="G114" i="13"/>
  <c r="G1065" i="13"/>
  <c r="G287" i="13"/>
  <c r="G459" i="13"/>
  <c r="G1925" i="13"/>
  <c r="G1753" i="13"/>
  <c r="G719" i="13"/>
  <c r="G893" i="13"/>
  <c r="G373" i="13"/>
  <c r="G543" i="13"/>
  <c r="G201" i="13"/>
  <c r="G807" i="13"/>
  <c r="G1408" i="13"/>
  <c r="G1151" i="13"/>
  <c r="E1237" i="13"/>
  <c r="F1237" i="13" s="1"/>
  <c r="D1238" i="13" s="1"/>
  <c r="E1409" i="13"/>
  <c r="F1409" i="13" s="1"/>
  <c r="D1410" i="13" s="1"/>
  <c r="E1581" i="13"/>
  <c r="F1581" i="13" s="1"/>
  <c r="D1582" i="13" s="1"/>
  <c r="E631" i="13"/>
  <c r="F631" i="13" s="1"/>
  <c r="D632" i="13" s="1"/>
  <c r="E1066" i="13"/>
  <c r="F1066" i="13" s="1"/>
  <c r="D1067" i="13" s="1"/>
  <c r="G630" i="13"/>
  <c r="E1754" i="13"/>
  <c r="F1754" i="13" s="1"/>
  <c r="D1755" i="13" s="1"/>
  <c r="E115" i="13"/>
  <c r="F115" i="13" s="1"/>
  <c r="D116" i="13" s="1"/>
  <c r="E460" i="13"/>
  <c r="F460" i="13" s="1"/>
  <c r="D461" i="13" s="1"/>
  <c r="E1840" i="13"/>
  <c r="F1840" i="13" s="1"/>
  <c r="D1841" i="13" s="1"/>
  <c r="E202" i="13"/>
  <c r="F202" i="13" s="1"/>
  <c r="D203" i="13" s="1"/>
  <c r="E288" i="13"/>
  <c r="F288" i="13" s="1"/>
  <c r="D289" i="13" s="1"/>
  <c r="E1324" i="13"/>
  <c r="F1324" i="13" s="1"/>
  <c r="D1325" i="13" s="1"/>
  <c r="G2012" i="13"/>
  <c r="E808" i="13"/>
  <c r="F808" i="13" s="1"/>
  <c r="D809" i="13" s="1"/>
  <c r="E1926" i="13"/>
  <c r="F1926" i="13" s="1"/>
  <c r="D1927" i="13" s="1"/>
  <c r="F544" i="13"/>
  <c r="D545" i="13" s="1"/>
  <c r="E894" i="13"/>
  <c r="F894" i="13" s="1"/>
  <c r="D895" i="13" s="1"/>
  <c r="G1495" i="13"/>
  <c r="G1667" i="13"/>
  <c r="E1152" i="13"/>
  <c r="F1152" i="13" s="1"/>
  <c r="D1153" i="13" s="1"/>
  <c r="E720" i="13"/>
  <c r="F720" i="13" s="1"/>
  <c r="D721" i="13" s="1"/>
  <c r="E2013" i="13"/>
  <c r="F2013" i="13" s="1"/>
  <c r="D2014" i="13" s="1"/>
  <c r="G1839" i="13"/>
  <c r="E1496" i="13"/>
  <c r="F1496" i="13" s="1"/>
  <c r="D1497" i="13" s="1"/>
  <c r="E1668" i="13"/>
  <c r="F1668" i="13" s="1"/>
  <c r="D1669" i="13" s="1"/>
  <c r="E374" i="13"/>
  <c r="F374" i="13" s="1"/>
  <c r="D375" i="13" s="1"/>
  <c r="G1236" i="13"/>
  <c r="G1323" i="13"/>
  <c r="G1581" i="13" l="1"/>
  <c r="G1754" i="13"/>
  <c r="G115" i="13"/>
  <c r="G1926" i="13"/>
  <c r="G202" i="13"/>
  <c r="G1496" i="13"/>
  <c r="G720" i="13"/>
  <c r="G460" i="13"/>
  <c r="G631" i="13"/>
  <c r="G894" i="13"/>
  <c r="G544" i="13"/>
  <c r="G1668" i="13"/>
  <c r="E375" i="13"/>
  <c r="F375" i="13" s="1"/>
  <c r="D376" i="13" s="1"/>
  <c r="G2013" i="13"/>
  <c r="G1840" i="13"/>
  <c r="E116" i="13"/>
  <c r="F116" i="13" s="1"/>
  <c r="D117" i="13" s="1"/>
  <c r="G1066" i="13"/>
  <c r="E632" i="13"/>
  <c r="F632" i="13" s="1"/>
  <c r="D633" i="13" s="1"/>
  <c r="E1410" i="13"/>
  <c r="F1410" i="13" s="1"/>
  <c r="D1411" i="13" s="1"/>
  <c r="E1238" i="13"/>
  <c r="F1238" i="13" s="1"/>
  <c r="D1239" i="13" s="1"/>
  <c r="E1841" i="13"/>
  <c r="F1841" i="13" s="1"/>
  <c r="D1842" i="13" s="1"/>
  <c r="E1067" i="13"/>
  <c r="F1067" i="13" s="1"/>
  <c r="D1068" i="13" s="1"/>
  <c r="E1669" i="13"/>
  <c r="F1669" i="13" s="1"/>
  <c r="D1670" i="13" s="1"/>
  <c r="E1927" i="13"/>
  <c r="F1927" i="13" s="1"/>
  <c r="D1928" i="13" s="1"/>
  <c r="E461" i="13"/>
  <c r="F461" i="13" s="1"/>
  <c r="D462" i="13" s="1"/>
  <c r="E1755" i="13"/>
  <c r="F1755" i="13" s="1"/>
  <c r="D1756" i="13" s="1"/>
  <c r="E1582" i="13"/>
  <c r="F1582" i="13" s="1"/>
  <c r="E809" i="13"/>
  <c r="F809" i="13" s="1"/>
  <c r="D810" i="13" s="1"/>
  <c r="E203" i="13"/>
  <c r="F203" i="13" s="1"/>
  <c r="D204" i="13" s="1"/>
  <c r="E1497" i="13"/>
  <c r="F1497" i="13" s="1"/>
  <c r="D1498" i="13" s="1"/>
  <c r="E721" i="13"/>
  <c r="F721" i="13" s="1"/>
  <c r="D722" i="13" s="1"/>
  <c r="E895" i="13"/>
  <c r="F895" i="13" s="1"/>
  <c r="D896" i="13" s="1"/>
  <c r="F545" i="13"/>
  <c r="D546" i="13" s="1"/>
  <c r="G808" i="13"/>
  <c r="G1324" i="13"/>
  <c r="G288" i="13"/>
  <c r="E1153" i="13"/>
  <c r="F1153" i="13" s="1"/>
  <c r="D1154" i="13" s="1"/>
  <c r="E1325" i="13"/>
  <c r="F1325" i="13" s="1"/>
  <c r="D1326" i="13" s="1"/>
  <c r="E289" i="13"/>
  <c r="F289" i="13" s="1"/>
  <c r="D290" i="13" s="1"/>
  <c r="E2014" i="13"/>
  <c r="F2014" i="13" s="1"/>
  <c r="G374" i="13"/>
  <c r="G1152" i="13"/>
  <c r="G1409" i="13"/>
  <c r="G1237" i="13"/>
  <c r="G203" i="13" l="1"/>
  <c r="G545" i="13"/>
  <c r="G1410" i="13"/>
  <c r="G721" i="13"/>
  <c r="G1153" i="13"/>
  <c r="G1669" i="13"/>
  <c r="G289" i="13"/>
  <c r="G116" i="13"/>
  <c r="G375" i="13"/>
  <c r="D2015" i="13"/>
  <c r="E2015" i="13" s="1"/>
  <c r="F2015" i="13" s="1"/>
  <c r="D2016" i="13" s="1"/>
  <c r="G2014" i="13"/>
  <c r="G895" i="13"/>
  <c r="G1497" i="13"/>
  <c r="G1755" i="13"/>
  <c r="G1927" i="13"/>
  <c r="D1583" i="13"/>
  <c r="G1582" i="13"/>
  <c r="E1326" i="13"/>
  <c r="F1326" i="13" s="1"/>
  <c r="D1327" i="13" s="1"/>
  <c r="F546" i="13"/>
  <c r="D547" i="13" s="1"/>
  <c r="G1841" i="13"/>
  <c r="E462" i="13"/>
  <c r="F462" i="13" s="1"/>
  <c r="D463" i="13" s="1"/>
  <c r="E1842" i="13"/>
  <c r="F1842" i="13" s="1"/>
  <c r="D1843" i="13" s="1"/>
  <c r="E1068" i="13"/>
  <c r="F1068" i="13" s="1"/>
  <c r="D1069" i="13" s="1"/>
  <c r="E1239" i="13"/>
  <c r="F1239" i="13" s="1"/>
  <c r="D1240" i="13" s="1"/>
  <c r="G1238" i="13"/>
  <c r="E633" i="13"/>
  <c r="F633" i="13" s="1"/>
  <c r="D634" i="13" s="1"/>
  <c r="E204" i="13"/>
  <c r="F204" i="13" s="1"/>
  <c r="D205" i="13" s="1"/>
  <c r="G809" i="13"/>
  <c r="E117" i="13"/>
  <c r="F117" i="13" s="1"/>
  <c r="D118" i="13" s="1"/>
  <c r="E376" i="13"/>
  <c r="F376" i="13" s="1"/>
  <c r="D377" i="13" s="1"/>
  <c r="E896" i="13"/>
  <c r="F896" i="13" s="1"/>
  <c r="D897" i="13" s="1"/>
  <c r="E1154" i="13"/>
  <c r="F1154" i="13" s="1"/>
  <c r="D1155" i="13" s="1"/>
  <c r="E810" i="13"/>
  <c r="F810" i="13" s="1"/>
  <c r="D811" i="13" s="1"/>
  <c r="E1756" i="13"/>
  <c r="F1756" i="13" s="1"/>
  <c r="D1757" i="13" s="1"/>
  <c r="E1928" i="13"/>
  <c r="F1928" i="13" s="1"/>
  <c r="D1929" i="13" s="1"/>
  <c r="E1670" i="13"/>
  <c r="F1670" i="13" s="1"/>
  <c r="D1671" i="13" s="1"/>
  <c r="E1411" i="13"/>
  <c r="F1411" i="13" s="1"/>
  <c r="D1412" i="13" s="1"/>
  <c r="E1498" i="13"/>
  <c r="F1498" i="13" s="1"/>
  <c r="D1499" i="13" s="1"/>
  <c r="E290" i="13"/>
  <c r="F290" i="13" s="1"/>
  <c r="D291" i="13" s="1"/>
  <c r="G1325" i="13"/>
  <c r="E722" i="13"/>
  <c r="F722" i="13" s="1"/>
  <c r="D723" i="13" s="1"/>
  <c r="G461" i="13"/>
  <c r="G1067" i="13"/>
  <c r="G632" i="13"/>
  <c r="G1068" i="13" l="1"/>
  <c r="G1670" i="13"/>
  <c r="G546" i="13"/>
  <c r="G722" i="13"/>
  <c r="G376" i="13"/>
  <c r="G117" i="13"/>
  <c r="G1498" i="13"/>
  <c r="G1239" i="13"/>
  <c r="G1928" i="13"/>
  <c r="G1154" i="13"/>
  <c r="G204" i="13"/>
  <c r="G810" i="13"/>
  <c r="G633" i="13"/>
  <c r="G1842" i="13"/>
  <c r="E1412" i="13"/>
  <c r="F1412" i="13" s="1"/>
  <c r="D1413" i="13" s="1"/>
  <c r="E897" i="13"/>
  <c r="F897" i="13" s="1"/>
  <c r="D898" i="13" s="1"/>
  <c r="G2015" i="13"/>
  <c r="E377" i="13"/>
  <c r="F377" i="13" s="1"/>
  <c r="D378" i="13" s="1"/>
  <c r="E463" i="13"/>
  <c r="F463" i="13" s="1"/>
  <c r="D464" i="13" s="1"/>
  <c r="E291" i="13"/>
  <c r="F291" i="13" s="1"/>
  <c r="D292" i="13" s="1"/>
  <c r="E634" i="13"/>
  <c r="F634" i="13" s="1"/>
  <c r="D635" i="13" s="1"/>
  <c r="E1069" i="13"/>
  <c r="F1069" i="13" s="1"/>
  <c r="D1070" i="13" s="1"/>
  <c r="G462" i="13"/>
  <c r="G1326" i="13"/>
  <c r="E1327" i="13"/>
  <c r="F1327" i="13" s="1"/>
  <c r="D1328" i="13" s="1"/>
  <c r="G290" i="13"/>
  <c r="E1929" i="13"/>
  <c r="F1929" i="13" s="1"/>
  <c r="D1930" i="13" s="1"/>
  <c r="E1757" i="13"/>
  <c r="F1757" i="13" s="1"/>
  <c r="D1758" i="13" s="1"/>
  <c r="E1240" i="13"/>
  <c r="F1240" i="13" s="1"/>
  <c r="D1241" i="13" s="1"/>
  <c r="E1843" i="13"/>
  <c r="F1843" i="13" s="1"/>
  <c r="D1844" i="13" s="1"/>
  <c r="E2016" i="13"/>
  <c r="F2016" i="13" s="1"/>
  <c r="E1671" i="13"/>
  <c r="F1671" i="13" s="1"/>
  <c r="D1672" i="13" s="1"/>
  <c r="E1155" i="13"/>
  <c r="F1155" i="13" s="1"/>
  <c r="D1156" i="13" s="1"/>
  <c r="F547" i="13"/>
  <c r="D548" i="13" s="1"/>
  <c r="E1583" i="13"/>
  <c r="F1583" i="13" s="1"/>
  <c r="D1584" i="13" s="1"/>
  <c r="E1499" i="13"/>
  <c r="F1499" i="13" s="1"/>
  <c r="D1500" i="13" s="1"/>
  <c r="E118" i="13"/>
  <c r="F118" i="13" s="1"/>
  <c r="D119" i="13" s="1"/>
  <c r="E723" i="13"/>
  <c r="F723" i="13" s="1"/>
  <c r="D724" i="13" s="1"/>
  <c r="G1756" i="13"/>
  <c r="G1411" i="13"/>
  <c r="E811" i="13"/>
  <c r="F811" i="13" s="1"/>
  <c r="D812" i="13" s="1"/>
  <c r="G896" i="13"/>
  <c r="E205" i="13"/>
  <c r="F205" i="13" s="1"/>
  <c r="D206" i="13" s="1"/>
  <c r="G1843" i="13" l="1"/>
  <c r="G1583" i="13"/>
  <c r="D2017" i="13"/>
  <c r="E2017" i="13" s="1"/>
  <c r="F2017" i="13" s="1"/>
  <c r="D2018" i="13" s="1"/>
  <c r="G2016" i="13"/>
  <c r="G634" i="13"/>
  <c r="G463" i="13"/>
  <c r="G1155" i="13"/>
  <c r="G1240" i="13"/>
  <c r="G118" i="13"/>
  <c r="G1671" i="13"/>
  <c r="G897" i="13"/>
  <c r="G205" i="13"/>
  <c r="G1929" i="13"/>
  <c r="G1069" i="13"/>
  <c r="G811" i="13"/>
  <c r="G547" i="13"/>
  <c r="G1327" i="13"/>
  <c r="E724" i="13"/>
  <c r="F724" i="13" s="1"/>
  <c r="D725" i="13" s="1"/>
  <c r="E1500" i="13"/>
  <c r="F1500" i="13" s="1"/>
  <c r="D1501" i="13" s="1"/>
  <c r="E1758" i="13"/>
  <c r="F1758" i="13" s="1"/>
  <c r="D1759" i="13" s="1"/>
  <c r="E1070" i="13"/>
  <c r="F1070" i="13" s="1"/>
  <c r="D1071" i="13" s="1"/>
  <c r="G291" i="13"/>
  <c r="G377" i="13"/>
  <c r="G1412" i="13"/>
  <c r="E292" i="13"/>
  <c r="F292" i="13" s="1"/>
  <c r="D293" i="13" s="1"/>
  <c r="E1672" i="13"/>
  <c r="F1672" i="13" s="1"/>
  <c r="D1673" i="13" s="1"/>
  <c r="E1413" i="13"/>
  <c r="F1413" i="13" s="1"/>
  <c r="D1414" i="13" s="1"/>
  <c r="E1328" i="13"/>
  <c r="F1328" i="13" s="1"/>
  <c r="D1329" i="13" s="1"/>
  <c r="E635" i="13"/>
  <c r="F635" i="13" s="1"/>
  <c r="D636" i="13" s="1"/>
  <c r="E464" i="13"/>
  <c r="F464" i="13" s="1"/>
  <c r="D465" i="13" s="1"/>
  <c r="E1930" i="13"/>
  <c r="F1930" i="13" s="1"/>
  <c r="D1931" i="13" s="1"/>
  <c r="E1844" i="13"/>
  <c r="F1844" i="13" s="1"/>
  <c r="D1845" i="13" s="1"/>
  <c r="E898" i="13"/>
  <c r="F898" i="13" s="1"/>
  <c r="D899" i="13" s="1"/>
  <c r="E1584" i="13"/>
  <c r="F1584" i="13" s="1"/>
  <c r="D1585" i="13" s="1"/>
  <c r="F548" i="13"/>
  <c r="D549" i="13" s="1"/>
  <c r="E378" i="13"/>
  <c r="F378" i="13" s="1"/>
  <c r="D379" i="13" s="1"/>
  <c r="E206" i="13"/>
  <c r="F206" i="13" s="1"/>
  <c r="D207" i="13" s="1"/>
  <c r="E119" i="13"/>
  <c r="F119" i="13" s="1"/>
  <c r="D120" i="13" s="1"/>
  <c r="E1156" i="13"/>
  <c r="F1156" i="13" s="1"/>
  <c r="D1157" i="13" s="1"/>
  <c r="E812" i="13"/>
  <c r="F812" i="13" s="1"/>
  <c r="D813" i="13" s="1"/>
  <c r="G723" i="13"/>
  <c r="G1499" i="13"/>
  <c r="E1241" i="13"/>
  <c r="F1241" i="13" s="1"/>
  <c r="D1242" i="13" s="1"/>
  <c r="G1757" i="13"/>
  <c r="G1156" i="13" l="1"/>
  <c r="G635" i="13"/>
  <c r="G1844" i="13"/>
  <c r="G1930" i="13"/>
  <c r="G464" i="13"/>
  <c r="G1500" i="13"/>
  <c r="G378" i="13"/>
  <c r="G1758" i="13"/>
  <c r="G724" i="13"/>
  <c r="G1070" i="13"/>
  <c r="G206" i="13"/>
  <c r="G1584" i="13"/>
  <c r="G812" i="13"/>
  <c r="G119" i="13"/>
  <c r="G2017" i="13"/>
  <c r="F549" i="13"/>
  <c r="D550" i="13" s="1"/>
  <c r="E899" i="13"/>
  <c r="F899" i="13" s="1"/>
  <c r="D900" i="13" s="1"/>
  <c r="G1328" i="13"/>
  <c r="E1414" i="13"/>
  <c r="F1414" i="13" s="1"/>
  <c r="D1415" i="13" s="1"/>
  <c r="G1672" i="13"/>
  <c r="E1071" i="13"/>
  <c r="F1071" i="13" s="1"/>
  <c r="D1072" i="13" s="1"/>
  <c r="E1501" i="13"/>
  <c r="F1501" i="13" s="1"/>
  <c r="D1502" i="13" s="1"/>
  <c r="E120" i="13"/>
  <c r="F120" i="13" s="1"/>
  <c r="D121" i="13" s="1"/>
  <c r="E1673" i="13"/>
  <c r="F1673" i="13" s="1"/>
  <c r="D1674" i="13" s="1"/>
  <c r="E293" i="13"/>
  <c r="F293" i="13" s="1"/>
  <c r="D294" i="13" s="1"/>
  <c r="E813" i="13"/>
  <c r="F813" i="13" s="1"/>
  <c r="D814" i="13" s="1"/>
  <c r="E1329" i="13"/>
  <c r="F1329" i="13" s="1"/>
  <c r="D1330" i="13" s="1"/>
  <c r="E207" i="13"/>
  <c r="F207" i="13" s="1"/>
  <c r="D208" i="13" s="1"/>
  <c r="E1931" i="13"/>
  <c r="F1931" i="13" s="1"/>
  <c r="D1932" i="13" s="1"/>
  <c r="G292" i="13"/>
  <c r="E725" i="13"/>
  <c r="F725" i="13" s="1"/>
  <c r="D726" i="13" s="1"/>
  <c r="E2018" i="13"/>
  <c r="F2018" i="13" s="1"/>
  <c r="D2019" i="13" s="1"/>
  <c r="G1241" i="13"/>
  <c r="E379" i="13"/>
  <c r="F379" i="13" s="1"/>
  <c r="D380" i="13" s="1"/>
  <c r="E465" i="13"/>
  <c r="F465" i="13" s="1"/>
  <c r="D466" i="13" s="1"/>
  <c r="E1759" i="13"/>
  <c r="F1759" i="13" s="1"/>
  <c r="D1760" i="13" s="1"/>
  <c r="E1242" i="13"/>
  <c r="F1242" i="13" s="1"/>
  <c r="D1243" i="13" s="1"/>
  <c r="E1585" i="13"/>
  <c r="F1585" i="13" s="1"/>
  <c r="D1586" i="13" s="1"/>
  <c r="E1845" i="13"/>
  <c r="F1845" i="13" s="1"/>
  <c r="D1846" i="13" s="1"/>
  <c r="E1157" i="13"/>
  <c r="F1157" i="13" s="1"/>
  <c r="D1158" i="13" s="1"/>
  <c r="G548" i="13"/>
  <c r="G898" i="13"/>
  <c r="E636" i="13"/>
  <c r="F636" i="13" s="1"/>
  <c r="D637" i="13" s="1"/>
  <c r="G1413" i="13"/>
  <c r="G1329" i="13" l="1"/>
  <c r="G1501" i="13"/>
  <c r="G120" i="13"/>
  <c r="G1585" i="13"/>
  <c r="G636" i="13"/>
  <c r="G1242" i="13"/>
  <c r="G813" i="13"/>
  <c r="G725" i="13"/>
  <c r="G1157" i="13"/>
  <c r="G465" i="13"/>
  <c r="G2018" i="13"/>
  <c r="G207" i="13"/>
  <c r="G1673" i="13"/>
  <c r="G1414" i="13"/>
  <c r="G1845" i="13"/>
  <c r="G1759" i="13"/>
  <c r="G379" i="13"/>
  <c r="G1931" i="13"/>
  <c r="G549" i="13"/>
  <c r="E1072" i="13"/>
  <c r="F1072" i="13" s="1"/>
  <c r="D1073" i="13" s="1"/>
  <c r="E208" i="13"/>
  <c r="F208" i="13" s="1"/>
  <c r="D209" i="13" s="1"/>
  <c r="G293" i="13"/>
  <c r="G1071" i="13"/>
  <c r="E900" i="13"/>
  <c r="F900" i="13" s="1"/>
  <c r="D901" i="13" s="1"/>
  <c r="E2019" i="13"/>
  <c r="F2019" i="13" s="1"/>
  <c r="F550" i="13"/>
  <c r="D551" i="13" s="1"/>
  <c r="E294" i="13"/>
  <c r="F294" i="13" s="1"/>
  <c r="D295" i="13" s="1"/>
  <c r="E1846" i="13"/>
  <c r="F1846" i="13" s="1"/>
  <c r="D1847" i="13" s="1"/>
  <c r="E1586" i="13"/>
  <c r="F1586" i="13" s="1"/>
  <c r="D1587" i="13" s="1"/>
  <c r="E1243" i="13"/>
  <c r="F1243" i="13" s="1"/>
  <c r="D1244" i="13" s="1"/>
  <c r="E1330" i="13"/>
  <c r="F1330" i="13" s="1"/>
  <c r="D1331" i="13" s="1"/>
  <c r="E1674" i="13"/>
  <c r="F1674" i="13" s="1"/>
  <c r="D1675" i="13" s="1"/>
  <c r="E726" i="13"/>
  <c r="F726" i="13" s="1"/>
  <c r="D727" i="13" s="1"/>
  <c r="E1415" i="13"/>
  <c r="F1415" i="13" s="1"/>
  <c r="D1416" i="13" s="1"/>
  <c r="E1158" i="13"/>
  <c r="F1158" i="13" s="1"/>
  <c r="D1159" i="13" s="1"/>
  <c r="E1760" i="13"/>
  <c r="F1760" i="13" s="1"/>
  <c r="D1761" i="13" s="1"/>
  <c r="E380" i="13"/>
  <c r="F380" i="13" s="1"/>
  <c r="D381" i="13" s="1"/>
  <c r="E814" i="13"/>
  <c r="F814" i="13" s="1"/>
  <c r="D815" i="13" s="1"/>
  <c r="E121" i="13"/>
  <c r="F121" i="13" s="1"/>
  <c r="D122" i="13" s="1"/>
  <c r="E637" i="13"/>
  <c r="F637" i="13" s="1"/>
  <c r="D638" i="13" s="1"/>
  <c r="E466" i="13"/>
  <c r="F466" i="13" s="1"/>
  <c r="D467" i="13" s="1"/>
  <c r="E1932" i="13"/>
  <c r="F1932" i="13" s="1"/>
  <c r="D1933" i="13" s="1"/>
  <c r="E1502" i="13"/>
  <c r="F1502" i="13" s="1"/>
  <c r="D1503" i="13" s="1"/>
  <c r="G899" i="13"/>
  <c r="G1502" i="13" l="1"/>
  <c r="G294" i="13"/>
  <c r="G1932" i="13"/>
  <c r="G1760" i="13"/>
  <c r="D2020" i="13"/>
  <c r="G2019" i="13"/>
  <c r="G466" i="13"/>
  <c r="G637" i="13"/>
  <c r="G121" i="13"/>
  <c r="E1761" i="13"/>
  <c r="F1761" i="13" s="1"/>
  <c r="D1762" i="13" s="1"/>
  <c r="G726" i="13"/>
  <c r="G1330" i="13"/>
  <c r="G1846" i="13"/>
  <c r="G208" i="13"/>
  <c r="E381" i="13"/>
  <c r="F381" i="13" s="1"/>
  <c r="D382" i="13" s="1"/>
  <c r="F551" i="13"/>
  <c r="D552" i="13" s="1"/>
  <c r="E467" i="13"/>
  <c r="F467" i="13" s="1"/>
  <c r="D468" i="13" s="1"/>
  <c r="E727" i="13"/>
  <c r="F727" i="13" s="1"/>
  <c r="D728" i="13" s="1"/>
  <c r="E1331" i="13"/>
  <c r="F1331" i="13" s="1"/>
  <c r="D1332" i="13" s="1"/>
  <c r="E1847" i="13"/>
  <c r="F1847" i="13" s="1"/>
  <c r="D1848" i="13" s="1"/>
  <c r="G814" i="13"/>
  <c r="G1158" i="13"/>
  <c r="E1416" i="13"/>
  <c r="F1416" i="13" s="1"/>
  <c r="D1417" i="13" s="1"/>
  <c r="E1675" i="13"/>
  <c r="F1675" i="13" s="1"/>
  <c r="D1676" i="13" s="1"/>
  <c r="E815" i="13"/>
  <c r="F815" i="13" s="1"/>
  <c r="D816" i="13" s="1"/>
  <c r="G1415" i="13"/>
  <c r="E901" i="13"/>
  <c r="F901" i="13" s="1"/>
  <c r="D902" i="13" s="1"/>
  <c r="E1587" i="13"/>
  <c r="F1587" i="13" s="1"/>
  <c r="D1588" i="13" s="1"/>
  <c r="E209" i="13"/>
  <c r="F209" i="13" s="1"/>
  <c r="D210" i="13" s="1"/>
  <c r="E122" i="13"/>
  <c r="F122" i="13" s="1"/>
  <c r="D123" i="13" s="1"/>
  <c r="E1503" i="13"/>
  <c r="F1503" i="13" s="1"/>
  <c r="D1504" i="13" s="1"/>
  <c r="E1244" i="13"/>
  <c r="F1244" i="13" s="1"/>
  <c r="D1245" i="13" s="1"/>
  <c r="G900" i="13"/>
  <c r="G1243" i="13"/>
  <c r="E295" i="13"/>
  <c r="F295" i="13" s="1"/>
  <c r="D296" i="13" s="1"/>
  <c r="E1073" i="13"/>
  <c r="F1073" i="13" s="1"/>
  <c r="D1074" i="13" s="1"/>
  <c r="E638" i="13"/>
  <c r="F638" i="13" s="1"/>
  <c r="D639" i="13" s="1"/>
  <c r="E1159" i="13"/>
  <c r="F1159" i="13" s="1"/>
  <c r="D1160" i="13" s="1"/>
  <c r="E1933" i="13"/>
  <c r="F1933" i="13" s="1"/>
  <c r="D1934" i="13" s="1"/>
  <c r="G380" i="13"/>
  <c r="G1674" i="13"/>
  <c r="G1586" i="13"/>
  <c r="G550" i="13"/>
  <c r="G1072" i="13"/>
  <c r="G1073" i="13" l="1"/>
  <c r="G1933" i="13"/>
  <c r="G727" i="13"/>
  <c r="G1331" i="13"/>
  <c r="G815" i="13"/>
  <c r="G1416" i="13"/>
  <c r="G1847" i="13"/>
  <c r="G122" i="13"/>
  <c r="G209" i="13"/>
  <c r="G1675" i="13"/>
  <c r="G1159" i="13"/>
  <c r="G551" i="13"/>
  <c r="G381" i="13"/>
  <c r="G1761" i="13"/>
  <c r="G901" i="13"/>
  <c r="G1587" i="13"/>
  <c r="G638" i="13"/>
  <c r="G1503" i="13"/>
  <c r="E902" i="13"/>
  <c r="F902" i="13" s="1"/>
  <c r="D903" i="13" s="1"/>
  <c r="E1762" i="13"/>
  <c r="F1762" i="13" s="1"/>
  <c r="D1763" i="13" s="1"/>
  <c r="E728" i="13"/>
  <c r="F728" i="13" s="1"/>
  <c r="D729" i="13" s="1"/>
  <c r="E816" i="13"/>
  <c r="F816" i="13" s="1"/>
  <c r="D817" i="13" s="1"/>
  <c r="E639" i="13"/>
  <c r="F639" i="13" s="1"/>
  <c r="D640" i="13" s="1"/>
  <c r="E210" i="13"/>
  <c r="F210" i="13" s="1"/>
  <c r="D211" i="13" s="1"/>
  <c r="E468" i="13"/>
  <c r="F468" i="13" s="1"/>
  <c r="D469" i="13" s="1"/>
  <c r="E1074" i="13"/>
  <c r="F1074" i="13" s="1"/>
  <c r="D1075" i="13" s="1"/>
  <c r="E1934" i="13"/>
  <c r="F1934" i="13" s="1"/>
  <c r="D1935" i="13" s="1"/>
  <c r="E1848" i="13"/>
  <c r="F1848" i="13" s="1"/>
  <c r="D1849" i="13" s="1"/>
  <c r="G467" i="13"/>
  <c r="E1504" i="13"/>
  <c r="F1504" i="13" s="1"/>
  <c r="D1505" i="13" s="1"/>
  <c r="E382" i="13"/>
  <c r="F382" i="13" s="1"/>
  <c r="D383" i="13" s="1"/>
  <c r="E123" i="13"/>
  <c r="F123" i="13" s="1"/>
  <c r="D124" i="13" s="1"/>
  <c r="E296" i="13"/>
  <c r="F296" i="13" s="1"/>
  <c r="D297" i="13" s="1"/>
  <c r="E1245" i="13"/>
  <c r="F1245" i="13" s="1"/>
  <c r="D1246" i="13" s="1"/>
  <c r="E1417" i="13"/>
  <c r="F1417" i="13" s="1"/>
  <c r="D1418" i="13" s="1"/>
  <c r="E1160" i="13"/>
  <c r="F1160" i="13" s="1"/>
  <c r="D1161" i="13" s="1"/>
  <c r="G295" i="13"/>
  <c r="G1244" i="13"/>
  <c r="E1588" i="13"/>
  <c r="F1588" i="13" s="1"/>
  <c r="D1589" i="13" s="1"/>
  <c r="E1676" i="13"/>
  <c r="F1676" i="13" s="1"/>
  <c r="D1677" i="13" s="1"/>
  <c r="E1332" i="13"/>
  <c r="F1332" i="13" s="1"/>
  <c r="D1333" i="13" s="1"/>
  <c r="F552" i="13"/>
  <c r="D553" i="13" s="1"/>
  <c r="E2020" i="13"/>
  <c r="F2020" i="13" s="1"/>
  <c r="D2021" i="13" s="1"/>
  <c r="G902" i="13" l="1"/>
  <c r="G816" i="13"/>
  <c r="G1245" i="13"/>
  <c r="G1504" i="13"/>
  <c r="G728" i="13"/>
  <c r="G123" i="13"/>
  <c r="G1848" i="13"/>
  <c r="G1332" i="13"/>
  <c r="G1160" i="13"/>
  <c r="G468" i="13"/>
  <c r="G1676" i="13"/>
  <c r="G210" i="13"/>
  <c r="G552" i="13"/>
  <c r="G1934" i="13"/>
  <c r="E469" i="13"/>
  <c r="F469" i="13" s="1"/>
  <c r="D470" i="13" s="1"/>
  <c r="E729" i="13"/>
  <c r="F729" i="13" s="1"/>
  <c r="D730" i="13" s="1"/>
  <c r="E1418" i="13"/>
  <c r="F1418" i="13" s="1"/>
  <c r="D1419" i="13" s="1"/>
  <c r="E903" i="13"/>
  <c r="F903" i="13" s="1"/>
  <c r="D904" i="13" s="1"/>
  <c r="E1333" i="13"/>
  <c r="F1333" i="13" s="1"/>
  <c r="D1334" i="13" s="1"/>
  <c r="E1161" i="13"/>
  <c r="F1161" i="13" s="1"/>
  <c r="D1162" i="13" s="1"/>
  <c r="E2021" i="13"/>
  <c r="F2021" i="13" s="1"/>
  <c r="G2020" i="13"/>
  <c r="E1849" i="13"/>
  <c r="F1849" i="13" s="1"/>
  <c r="D1850" i="13" s="1"/>
  <c r="E1246" i="13"/>
  <c r="F1246" i="13" s="1"/>
  <c r="D1247" i="13" s="1"/>
  <c r="G296" i="13"/>
  <c r="E211" i="13"/>
  <c r="F211" i="13" s="1"/>
  <c r="D212" i="13" s="1"/>
  <c r="E817" i="13"/>
  <c r="F817" i="13" s="1"/>
  <c r="D818" i="13" s="1"/>
  <c r="E1589" i="13"/>
  <c r="F1589" i="13" s="1"/>
  <c r="D1590" i="13" s="1"/>
  <c r="E124" i="13"/>
  <c r="F124" i="13" s="1"/>
  <c r="D125" i="13" s="1"/>
  <c r="G382" i="13"/>
  <c r="E297" i="13"/>
  <c r="F297" i="13" s="1"/>
  <c r="D298" i="13" s="1"/>
  <c r="E1075" i="13"/>
  <c r="F1075" i="13" s="1"/>
  <c r="D1076" i="13" s="1"/>
  <c r="E640" i="13"/>
  <c r="F640" i="13" s="1"/>
  <c r="D641" i="13" s="1"/>
  <c r="E1763" i="13"/>
  <c r="F1763" i="13" s="1"/>
  <c r="D1764" i="13" s="1"/>
  <c r="E1935" i="13"/>
  <c r="F1935" i="13" s="1"/>
  <c r="D1936" i="13" s="1"/>
  <c r="E383" i="13"/>
  <c r="F383" i="13" s="1"/>
  <c r="D384" i="13" s="1"/>
  <c r="E1677" i="13"/>
  <c r="F1677" i="13" s="1"/>
  <c r="D1678" i="13" s="1"/>
  <c r="E1505" i="13"/>
  <c r="F1505" i="13" s="1"/>
  <c r="D1506" i="13" s="1"/>
  <c r="F553" i="13"/>
  <c r="D554" i="13" s="1"/>
  <c r="G1588" i="13"/>
  <c r="G1417" i="13"/>
  <c r="G1074" i="13"/>
  <c r="G639" i="13"/>
  <c r="G1762" i="13"/>
  <c r="G1333" i="13" l="1"/>
  <c r="G1505" i="13"/>
  <c r="G1075" i="13"/>
  <c r="G1246" i="13"/>
  <c r="G1935" i="13"/>
  <c r="G1418" i="13"/>
  <c r="G640" i="13"/>
  <c r="G124" i="13"/>
  <c r="G1849" i="13"/>
  <c r="G1161" i="13"/>
  <c r="G297" i="13"/>
  <c r="D2022" i="13"/>
  <c r="G2021" i="13"/>
  <c r="E1678" i="13"/>
  <c r="F1678" i="13" s="1"/>
  <c r="D1679" i="13" s="1"/>
  <c r="E1764" i="13"/>
  <c r="F1764" i="13" s="1"/>
  <c r="D1765" i="13" s="1"/>
  <c r="G211" i="13"/>
  <c r="G469" i="13"/>
  <c r="E384" i="13"/>
  <c r="F384" i="13" s="1"/>
  <c r="D385" i="13" s="1"/>
  <c r="E470" i="13"/>
  <c r="F470" i="13" s="1"/>
  <c r="D471" i="13" s="1"/>
  <c r="G383" i="13"/>
  <c r="E125" i="13"/>
  <c r="F125" i="13" s="1"/>
  <c r="D126" i="13" s="1"/>
  <c r="G903" i="13"/>
  <c r="E641" i="13"/>
  <c r="F641" i="13" s="1"/>
  <c r="D642" i="13" s="1"/>
  <c r="G553" i="13"/>
  <c r="E1334" i="13"/>
  <c r="F1334" i="13" s="1"/>
  <c r="D1335" i="13" s="1"/>
  <c r="E1590" i="13"/>
  <c r="F1590" i="13" s="1"/>
  <c r="D1591" i="13" s="1"/>
  <c r="E904" i="13"/>
  <c r="F904" i="13" s="1"/>
  <c r="D905" i="13" s="1"/>
  <c r="G1589" i="13"/>
  <c r="E1419" i="13"/>
  <c r="F1419" i="13" s="1"/>
  <c r="D1420" i="13" s="1"/>
  <c r="E1247" i="13"/>
  <c r="F1247" i="13" s="1"/>
  <c r="D1248" i="13" s="1"/>
  <c r="E1936" i="13"/>
  <c r="F1936" i="13" s="1"/>
  <c r="D1937" i="13" s="1"/>
  <c r="E1850" i="13"/>
  <c r="F1850" i="13" s="1"/>
  <c r="D1851" i="13" s="1"/>
  <c r="E298" i="13"/>
  <c r="F298" i="13" s="1"/>
  <c r="D299" i="13" s="1"/>
  <c r="E818" i="13"/>
  <c r="F818" i="13" s="1"/>
  <c r="D819" i="13" s="1"/>
  <c r="E730" i="13"/>
  <c r="F730" i="13" s="1"/>
  <c r="D731" i="13" s="1"/>
  <c r="E212" i="13"/>
  <c r="F212" i="13" s="1"/>
  <c r="D213" i="13" s="1"/>
  <c r="F554" i="13"/>
  <c r="D555" i="13" s="1"/>
  <c r="E1076" i="13"/>
  <c r="F1076" i="13" s="1"/>
  <c r="D1077" i="13" s="1"/>
  <c r="E1506" i="13"/>
  <c r="F1506" i="13" s="1"/>
  <c r="D1507" i="13" s="1"/>
  <c r="G1677" i="13"/>
  <c r="G1763" i="13"/>
  <c r="G817" i="13"/>
  <c r="E1162" i="13"/>
  <c r="F1162" i="13" s="1"/>
  <c r="D1163" i="13" s="1"/>
  <c r="G729" i="13"/>
  <c r="G1162" i="13" l="1"/>
  <c r="G384" i="13"/>
  <c r="G1506" i="13"/>
  <c r="G298" i="13"/>
  <c r="G554" i="13"/>
  <c r="G1936" i="13"/>
  <c r="G212" i="13"/>
  <c r="G641" i="13"/>
  <c r="G470" i="13"/>
  <c r="G1334" i="13"/>
  <c r="G125" i="13"/>
  <c r="G1764" i="13"/>
  <c r="G818" i="13"/>
  <c r="G1419" i="13"/>
  <c r="G1590" i="13"/>
  <c r="G1678" i="13"/>
  <c r="E1851" i="13"/>
  <c r="F1851" i="13" s="1"/>
  <c r="D1852" i="13" s="1"/>
  <c r="E1248" i="13"/>
  <c r="F1248" i="13" s="1"/>
  <c r="D1249" i="13" s="1"/>
  <c r="E1077" i="13"/>
  <c r="F1077" i="13" s="1"/>
  <c r="D1078" i="13" s="1"/>
  <c r="F555" i="13"/>
  <c r="D556" i="13" s="1"/>
  <c r="E385" i="13"/>
  <c r="F385" i="13" s="1"/>
  <c r="D386" i="13" s="1"/>
  <c r="E1507" i="13"/>
  <c r="F1507" i="13" s="1"/>
  <c r="D1508" i="13" s="1"/>
  <c r="E1335" i="13"/>
  <c r="F1335" i="13" s="1"/>
  <c r="D1336" i="13" s="1"/>
  <c r="E126" i="13"/>
  <c r="F126" i="13" s="1"/>
  <c r="D127" i="13" s="1"/>
  <c r="E1765" i="13"/>
  <c r="F1765" i="13" s="1"/>
  <c r="D1766" i="13" s="1"/>
  <c r="E1420" i="13"/>
  <c r="F1420" i="13" s="1"/>
  <c r="D1421" i="13" s="1"/>
  <c r="E1937" i="13"/>
  <c r="F1937" i="13" s="1"/>
  <c r="D1938" i="13" s="1"/>
  <c r="G904" i="13"/>
  <c r="E299" i="13"/>
  <c r="F299" i="13" s="1"/>
  <c r="D300" i="13" s="1"/>
  <c r="E1679" i="13"/>
  <c r="F1679" i="13" s="1"/>
  <c r="D1680" i="13" s="1"/>
  <c r="E731" i="13"/>
  <c r="F731" i="13" s="1"/>
  <c r="D732" i="13" s="1"/>
  <c r="E1163" i="13"/>
  <c r="F1163" i="13" s="1"/>
  <c r="D1164" i="13" s="1"/>
  <c r="E905" i="13"/>
  <c r="F905" i="13" s="1"/>
  <c r="D906" i="13" s="1"/>
  <c r="E642" i="13"/>
  <c r="F642" i="13" s="1"/>
  <c r="D643" i="13" s="1"/>
  <c r="E471" i="13"/>
  <c r="F471" i="13" s="1"/>
  <c r="D472" i="13" s="1"/>
  <c r="E819" i="13"/>
  <c r="F819" i="13" s="1"/>
  <c r="D820" i="13" s="1"/>
  <c r="E1591" i="13"/>
  <c r="F1591" i="13" s="1"/>
  <c r="D1592" i="13" s="1"/>
  <c r="E213" i="13"/>
  <c r="F213" i="13" s="1"/>
  <c r="D214" i="13" s="1"/>
  <c r="G1076" i="13"/>
  <c r="G730" i="13"/>
  <c r="G1850" i="13"/>
  <c r="G1247" i="13"/>
  <c r="E2022" i="13"/>
  <c r="F2022" i="13" s="1"/>
  <c r="D2023" i="13" s="1"/>
  <c r="G1765" i="13" l="1"/>
  <c r="G642" i="13"/>
  <c r="G731" i="13"/>
  <c r="G213" i="13"/>
  <c r="G1335" i="13"/>
  <c r="G471" i="13"/>
  <c r="G1851" i="13"/>
  <c r="G1937" i="13"/>
  <c r="G1591" i="13"/>
  <c r="G385" i="13"/>
  <c r="G1077" i="13"/>
  <c r="G1248" i="13"/>
  <c r="G1163" i="13"/>
  <c r="G2022" i="13"/>
  <c r="G905" i="13"/>
  <c r="G1679" i="13"/>
  <c r="G1420" i="13"/>
  <c r="G126" i="13"/>
  <c r="E127" i="13"/>
  <c r="F127" i="13" s="1"/>
  <c r="D128" i="13" s="1"/>
  <c r="E214" i="13"/>
  <c r="F214" i="13" s="1"/>
  <c r="D215" i="13" s="1"/>
  <c r="E1336" i="13"/>
  <c r="F1336" i="13" s="1"/>
  <c r="D1337" i="13" s="1"/>
  <c r="E386" i="13"/>
  <c r="F386" i="13" s="1"/>
  <c r="D387" i="13" s="1"/>
  <c r="E1078" i="13"/>
  <c r="F1078" i="13" s="1"/>
  <c r="D1079" i="13" s="1"/>
  <c r="E1249" i="13"/>
  <c r="F1249" i="13" s="1"/>
  <c r="D1250" i="13" s="1"/>
  <c r="G299" i="13"/>
  <c r="E1680" i="13"/>
  <c r="F1680" i="13" s="1"/>
  <c r="D1681" i="13" s="1"/>
  <c r="E2023" i="13"/>
  <c r="F2023" i="13" s="1"/>
  <c r="D2024" i="13" s="1"/>
  <c r="E300" i="13"/>
  <c r="F300" i="13" s="1"/>
  <c r="D301" i="13" s="1"/>
  <c r="E643" i="13"/>
  <c r="F643" i="13" s="1"/>
  <c r="D644" i="13" s="1"/>
  <c r="E1766" i="13"/>
  <c r="F1766" i="13" s="1"/>
  <c r="D1767" i="13" s="1"/>
  <c r="E1852" i="13"/>
  <c r="F1852" i="13" s="1"/>
  <c r="D1853" i="13" s="1"/>
  <c r="E906" i="13"/>
  <c r="F906" i="13" s="1"/>
  <c r="D907" i="13" s="1"/>
  <c r="E1164" i="13"/>
  <c r="F1164" i="13" s="1"/>
  <c r="D1165" i="13" s="1"/>
  <c r="E1592" i="13"/>
  <c r="F1592" i="13" s="1"/>
  <c r="D1593" i="13" s="1"/>
  <c r="E1508" i="13"/>
  <c r="F1508" i="13" s="1"/>
  <c r="D1509" i="13" s="1"/>
  <c r="F556" i="13"/>
  <c r="D557" i="13" s="1"/>
  <c r="E1421" i="13"/>
  <c r="F1421" i="13" s="1"/>
  <c r="D1422" i="13" s="1"/>
  <c r="E472" i="13"/>
  <c r="F472" i="13" s="1"/>
  <c r="D473" i="13" s="1"/>
  <c r="E820" i="13"/>
  <c r="F820" i="13" s="1"/>
  <c r="D821" i="13" s="1"/>
  <c r="G819" i="13"/>
  <c r="E732" i="13"/>
  <c r="F732" i="13" s="1"/>
  <c r="D733" i="13" s="1"/>
  <c r="E1938" i="13"/>
  <c r="F1938" i="13" s="1"/>
  <c r="D1939" i="13" s="1"/>
  <c r="G1507" i="13"/>
  <c r="G555" i="13"/>
  <c r="G1249" i="13" l="1"/>
  <c r="G472" i="13"/>
  <c r="G1508" i="13"/>
  <c r="G1852" i="13"/>
  <c r="G556" i="13"/>
  <c r="G1592" i="13"/>
  <c r="G1766" i="13"/>
  <c r="G214" i="13"/>
  <c r="G1421" i="13"/>
  <c r="G1336" i="13"/>
  <c r="G1078" i="13"/>
  <c r="G300" i="13"/>
  <c r="G732" i="13"/>
  <c r="G1680" i="13"/>
  <c r="G906" i="13"/>
  <c r="G643" i="13"/>
  <c r="E1939" i="13"/>
  <c r="F1939" i="13" s="1"/>
  <c r="D1940" i="13" s="1"/>
  <c r="E301" i="13"/>
  <c r="F301" i="13" s="1"/>
  <c r="D302" i="13" s="1"/>
  <c r="E1079" i="13"/>
  <c r="F1079" i="13" s="1"/>
  <c r="D1080" i="13" s="1"/>
  <c r="E387" i="13"/>
  <c r="F387" i="13" s="1"/>
  <c r="D388" i="13" s="1"/>
  <c r="E128" i="13"/>
  <c r="F128" i="13" s="1"/>
  <c r="D129" i="13" s="1"/>
  <c r="E2024" i="13"/>
  <c r="F2024" i="13" s="1"/>
  <c r="G386" i="13"/>
  <c r="G127" i="13"/>
  <c r="E733" i="13"/>
  <c r="F733" i="13" s="1"/>
  <c r="D734" i="13" s="1"/>
  <c r="G1164" i="13"/>
  <c r="G2023" i="13"/>
  <c r="G820" i="13"/>
  <c r="E1337" i="13"/>
  <c r="F1337" i="13" s="1"/>
  <c r="D1338" i="13" s="1"/>
  <c r="E1509" i="13"/>
  <c r="F1509" i="13" s="1"/>
  <c r="D1510" i="13" s="1"/>
  <c r="E1165" i="13"/>
  <c r="F1165" i="13" s="1"/>
  <c r="D1166" i="13" s="1"/>
  <c r="E1767" i="13"/>
  <c r="F1767" i="13" s="1"/>
  <c r="D1768" i="13" s="1"/>
  <c r="E1681" i="13"/>
  <c r="F1681" i="13" s="1"/>
  <c r="D1682" i="13" s="1"/>
  <c r="E1853" i="13"/>
  <c r="F1853" i="13" s="1"/>
  <c r="D1854" i="13" s="1"/>
  <c r="E1422" i="13"/>
  <c r="F1422" i="13" s="1"/>
  <c r="D1423" i="13" s="1"/>
  <c r="E821" i="13"/>
  <c r="F821" i="13" s="1"/>
  <c r="D822" i="13" s="1"/>
  <c r="G1938" i="13"/>
  <c r="E473" i="13"/>
  <c r="F473" i="13" s="1"/>
  <c r="D474" i="13" s="1"/>
  <c r="F557" i="13"/>
  <c r="D558" i="13" s="1"/>
  <c r="E1593" i="13"/>
  <c r="F1593" i="13" s="1"/>
  <c r="D1594" i="13" s="1"/>
  <c r="E907" i="13"/>
  <c r="F907" i="13" s="1"/>
  <c r="D908" i="13" s="1"/>
  <c r="E644" i="13"/>
  <c r="F644" i="13" s="1"/>
  <c r="D645" i="13" s="1"/>
  <c r="E1250" i="13"/>
  <c r="F1250" i="13" s="1"/>
  <c r="D1251" i="13" s="1"/>
  <c r="E215" i="13"/>
  <c r="F215" i="13" s="1"/>
  <c r="D216" i="13" s="1"/>
  <c r="G473" i="13" l="1"/>
  <c r="G128" i="13"/>
  <c r="D2025" i="13"/>
  <c r="E2025" i="13" s="1"/>
  <c r="F2025" i="13" s="1"/>
  <c r="G2024" i="13"/>
  <c r="G644" i="13"/>
  <c r="G387" i="13"/>
  <c r="G1165" i="13"/>
  <c r="G1509" i="13"/>
  <c r="E1682" i="13"/>
  <c r="F1682" i="13" s="1"/>
  <c r="D1683" i="13" s="1"/>
  <c r="G1250" i="13"/>
  <c r="E1594" i="13"/>
  <c r="F1594" i="13" s="1"/>
  <c r="D1595" i="13" s="1"/>
  <c r="G821" i="13"/>
  <c r="G1681" i="13"/>
  <c r="E1166" i="13"/>
  <c r="F1166" i="13" s="1"/>
  <c r="D1167" i="13" s="1"/>
  <c r="E388" i="13"/>
  <c r="F388" i="13" s="1"/>
  <c r="D389" i="13" s="1"/>
  <c r="G557" i="13"/>
  <c r="E1423" i="13"/>
  <c r="F1423" i="13" s="1"/>
  <c r="D1424" i="13" s="1"/>
  <c r="G733" i="13"/>
  <c r="E302" i="13"/>
  <c r="F302" i="13" s="1"/>
  <c r="D303" i="13" s="1"/>
  <c r="F558" i="13"/>
  <c r="D559" i="13" s="1"/>
  <c r="E1510" i="13"/>
  <c r="F1510" i="13" s="1"/>
  <c r="D1511" i="13" s="1"/>
  <c r="G301" i="13"/>
  <c r="E474" i="13"/>
  <c r="F474" i="13" s="1"/>
  <c r="D475" i="13" s="1"/>
  <c r="G1422" i="13"/>
  <c r="E645" i="13"/>
  <c r="F645" i="13" s="1"/>
  <c r="D646" i="13" s="1"/>
  <c r="E1768" i="13"/>
  <c r="F1768" i="13" s="1"/>
  <c r="D1769" i="13" s="1"/>
  <c r="G907" i="13"/>
  <c r="G1853" i="13"/>
  <c r="G1767" i="13"/>
  <c r="E1251" i="13"/>
  <c r="F1251" i="13" s="1"/>
  <c r="D1252" i="13" s="1"/>
  <c r="E734" i="13"/>
  <c r="F734" i="13" s="1"/>
  <c r="D735" i="13" s="1"/>
  <c r="E216" i="13"/>
  <c r="F216" i="13" s="1"/>
  <c r="D217" i="13" s="1"/>
  <c r="E1338" i="13"/>
  <c r="F1338" i="13" s="1"/>
  <c r="D1339" i="13" s="1"/>
  <c r="E1080" i="13"/>
  <c r="F1080" i="13" s="1"/>
  <c r="D1081" i="13" s="1"/>
  <c r="E1940" i="13"/>
  <c r="F1940" i="13" s="1"/>
  <c r="D1941" i="13" s="1"/>
  <c r="E822" i="13"/>
  <c r="F822" i="13" s="1"/>
  <c r="D823" i="13" s="1"/>
  <c r="E1854" i="13"/>
  <c r="F1854" i="13" s="1"/>
  <c r="D1855" i="13" s="1"/>
  <c r="E908" i="13"/>
  <c r="F908" i="13" s="1"/>
  <c r="D909" i="13" s="1"/>
  <c r="G215" i="13"/>
  <c r="G1593" i="13"/>
  <c r="G1337" i="13"/>
  <c r="E129" i="13"/>
  <c r="F129" i="13" s="1"/>
  <c r="D130" i="13" s="1"/>
  <c r="G1079" i="13"/>
  <c r="G1939" i="13"/>
  <c r="G908" i="13" l="1"/>
  <c r="G1510" i="13"/>
  <c r="G1166" i="13"/>
  <c r="G1682" i="13"/>
  <c r="G302" i="13"/>
  <c r="G1423" i="13"/>
  <c r="G129" i="13"/>
  <c r="G1338" i="13"/>
  <c r="G558" i="13"/>
  <c r="G216" i="13"/>
  <c r="G388" i="13"/>
  <c r="G1594" i="13"/>
  <c r="G1854" i="13"/>
  <c r="G1940" i="13"/>
  <c r="G1768" i="13"/>
  <c r="G645" i="13"/>
  <c r="D2026" i="13"/>
  <c r="G2025" i="13"/>
  <c r="G1251" i="13"/>
  <c r="G474" i="13"/>
  <c r="E475" i="13"/>
  <c r="F475" i="13" s="1"/>
  <c r="D476" i="13" s="1"/>
  <c r="E1252" i="13"/>
  <c r="F1252" i="13" s="1"/>
  <c r="D1253" i="13" s="1"/>
  <c r="E389" i="13"/>
  <c r="F389" i="13" s="1"/>
  <c r="D390" i="13" s="1"/>
  <c r="E823" i="13"/>
  <c r="F823" i="13" s="1"/>
  <c r="D824" i="13" s="1"/>
  <c r="E1941" i="13"/>
  <c r="F1941" i="13" s="1"/>
  <c r="D1942" i="13" s="1"/>
  <c r="E1595" i="13"/>
  <c r="F1595" i="13" s="1"/>
  <c r="D1596" i="13" s="1"/>
  <c r="E735" i="13"/>
  <c r="F735" i="13" s="1"/>
  <c r="D736" i="13" s="1"/>
  <c r="E1081" i="13"/>
  <c r="F1081" i="13" s="1"/>
  <c r="D1082" i="13" s="1"/>
  <c r="E1769" i="13"/>
  <c r="F1769" i="13" s="1"/>
  <c r="D1770" i="13" s="1"/>
  <c r="E1511" i="13"/>
  <c r="F1511" i="13" s="1"/>
  <c r="D1512" i="13" s="1"/>
  <c r="E303" i="13"/>
  <c r="F303" i="13" s="1"/>
  <c r="D304" i="13" s="1"/>
  <c r="E1339" i="13"/>
  <c r="F1339" i="13" s="1"/>
  <c r="D1340" i="13" s="1"/>
  <c r="E909" i="13"/>
  <c r="F909" i="13" s="1"/>
  <c r="D910" i="13" s="1"/>
  <c r="E217" i="13"/>
  <c r="F217" i="13" s="1"/>
  <c r="D218" i="13" s="1"/>
  <c r="E1167" i="13"/>
  <c r="F1167" i="13" s="1"/>
  <c r="D1168" i="13" s="1"/>
  <c r="F559" i="13"/>
  <c r="D560" i="13" s="1"/>
  <c r="G1080" i="13"/>
  <c r="E130" i="13"/>
  <c r="F130" i="13" s="1"/>
  <c r="D131" i="13" s="1"/>
  <c r="E1855" i="13"/>
  <c r="F1855" i="13" s="1"/>
  <c r="D1856" i="13" s="1"/>
  <c r="G822" i="13"/>
  <c r="G734" i="13"/>
  <c r="E646" i="13"/>
  <c r="F646" i="13" s="1"/>
  <c r="D647" i="13" s="1"/>
  <c r="E1424" i="13"/>
  <c r="F1424" i="13" s="1"/>
  <c r="D1425" i="13" s="1"/>
  <c r="E1683" i="13"/>
  <c r="F1683" i="13" s="1"/>
  <c r="D1684" i="13" s="1"/>
  <c r="G1855" i="13" l="1"/>
  <c r="G1339" i="13"/>
  <c r="G909" i="13"/>
  <c r="G559" i="13"/>
  <c r="G646" i="13"/>
  <c r="G130" i="13"/>
  <c r="G1252" i="13"/>
  <c r="G389" i="13"/>
  <c r="G1081" i="13"/>
  <c r="G735" i="13"/>
  <c r="G1167" i="13"/>
  <c r="G475" i="13"/>
  <c r="G1683" i="13"/>
  <c r="G1941" i="13"/>
  <c r="G1511" i="13"/>
  <c r="G1595" i="13"/>
  <c r="G823" i="13"/>
  <c r="E1425" i="13"/>
  <c r="F1425" i="13" s="1"/>
  <c r="D1426" i="13" s="1"/>
  <c r="E218" i="13"/>
  <c r="F218" i="13" s="1"/>
  <c r="D219" i="13" s="1"/>
  <c r="E1340" i="13"/>
  <c r="F1340" i="13" s="1"/>
  <c r="D1341" i="13" s="1"/>
  <c r="G1769" i="13"/>
  <c r="E476" i="13"/>
  <c r="F476" i="13" s="1"/>
  <c r="D477" i="13" s="1"/>
  <c r="E824" i="13"/>
  <c r="F824" i="13" s="1"/>
  <c r="D825" i="13" s="1"/>
  <c r="E1856" i="13"/>
  <c r="F1856" i="13" s="1"/>
  <c r="D1857" i="13" s="1"/>
  <c r="E131" i="13"/>
  <c r="F131" i="13" s="1"/>
  <c r="D132" i="13" s="1"/>
  <c r="E1512" i="13"/>
  <c r="F1512" i="13" s="1"/>
  <c r="D1513" i="13" s="1"/>
  <c r="E1770" i="13"/>
  <c r="F1770" i="13" s="1"/>
  <c r="D1771" i="13" s="1"/>
  <c r="E910" i="13"/>
  <c r="F910" i="13" s="1"/>
  <c r="D911" i="13" s="1"/>
  <c r="E1082" i="13"/>
  <c r="F1082" i="13" s="1"/>
  <c r="D1083" i="13" s="1"/>
  <c r="E1942" i="13"/>
  <c r="F1942" i="13" s="1"/>
  <c r="D1943" i="13" s="1"/>
  <c r="E390" i="13"/>
  <c r="F390" i="13" s="1"/>
  <c r="D391" i="13" s="1"/>
  <c r="G1424" i="13"/>
  <c r="G217" i="13"/>
  <c r="E647" i="13"/>
  <c r="F647" i="13" s="1"/>
  <c r="D648" i="13" s="1"/>
  <c r="E304" i="13"/>
  <c r="F304" i="13" s="1"/>
  <c r="D305" i="13" s="1"/>
  <c r="E1596" i="13"/>
  <c r="F1596" i="13" s="1"/>
  <c r="D1597" i="13" s="1"/>
  <c r="E1168" i="13"/>
  <c r="F1168" i="13" s="1"/>
  <c r="D1169" i="13" s="1"/>
  <c r="E1684" i="13"/>
  <c r="F1684" i="13" s="1"/>
  <c r="D1685" i="13" s="1"/>
  <c r="F560" i="13"/>
  <c r="D561" i="13" s="1"/>
  <c r="G303" i="13"/>
  <c r="E736" i="13"/>
  <c r="F736" i="13" s="1"/>
  <c r="D737" i="13" s="1"/>
  <c r="E1253" i="13"/>
  <c r="F1253" i="13" s="1"/>
  <c r="D1254" i="13" s="1"/>
  <c r="E2026" i="13"/>
  <c r="F2026" i="13" s="1"/>
  <c r="G218" i="13" l="1"/>
  <c r="G647" i="13"/>
  <c r="G1684" i="13"/>
  <c r="G304" i="13"/>
  <c r="G736" i="13"/>
  <c r="G390" i="13"/>
  <c r="G476" i="13"/>
  <c r="G1770" i="13"/>
  <c r="G1168" i="13"/>
  <c r="G1340" i="13"/>
  <c r="D2027" i="13"/>
  <c r="G2026" i="13"/>
  <c r="E737" i="13"/>
  <c r="F737" i="13" s="1"/>
  <c r="D738" i="13" s="1"/>
  <c r="G910" i="13"/>
  <c r="G824" i="13"/>
  <c r="G1425" i="13"/>
  <c r="E1597" i="13"/>
  <c r="F1597" i="13" s="1"/>
  <c r="D1598" i="13" s="1"/>
  <c r="E911" i="13"/>
  <c r="F911" i="13" s="1"/>
  <c r="D912" i="13" s="1"/>
  <c r="E825" i="13"/>
  <c r="F825" i="13" s="1"/>
  <c r="D826" i="13" s="1"/>
  <c r="E1083" i="13"/>
  <c r="F1083" i="13" s="1"/>
  <c r="D1084" i="13" s="1"/>
  <c r="E1685" i="13"/>
  <c r="F1685" i="13" s="1"/>
  <c r="D1686" i="13" s="1"/>
  <c r="G1596" i="13"/>
  <c r="E219" i="13"/>
  <c r="F219" i="13" s="1"/>
  <c r="D220" i="13" s="1"/>
  <c r="E1857" i="13"/>
  <c r="F1857" i="13" s="1"/>
  <c r="D1858" i="13" s="1"/>
  <c r="E391" i="13"/>
  <c r="F391" i="13" s="1"/>
  <c r="D392" i="13" s="1"/>
  <c r="E477" i="13"/>
  <c r="F477" i="13" s="1"/>
  <c r="D478" i="13" s="1"/>
  <c r="E1426" i="13"/>
  <c r="F1426" i="13" s="1"/>
  <c r="D1427" i="13" s="1"/>
  <c r="E1254" i="13"/>
  <c r="F1254" i="13" s="1"/>
  <c r="D1255" i="13" s="1"/>
  <c r="F561" i="13"/>
  <c r="D562" i="13" s="1"/>
  <c r="E648" i="13"/>
  <c r="F648" i="13" s="1"/>
  <c r="D649" i="13" s="1"/>
  <c r="E1943" i="13"/>
  <c r="F1943" i="13" s="1"/>
  <c r="D1944" i="13" s="1"/>
  <c r="E132" i="13"/>
  <c r="F132" i="13" s="1"/>
  <c r="D133" i="13" s="1"/>
  <c r="G1253" i="13"/>
  <c r="G560" i="13"/>
  <c r="G1942" i="13"/>
  <c r="E1771" i="13"/>
  <c r="F1771" i="13" s="1"/>
  <c r="D1772" i="13" s="1"/>
  <c r="G131" i="13"/>
  <c r="E1513" i="13"/>
  <c r="F1513" i="13" s="1"/>
  <c r="D1514" i="13" s="1"/>
  <c r="E1169" i="13"/>
  <c r="F1169" i="13" s="1"/>
  <c r="D1170" i="13" s="1"/>
  <c r="E305" i="13"/>
  <c r="F305" i="13" s="1"/>
  <c r="D306" i="13" s="1"/>
  <c r="G1082" i="13"/>
  <c r="G1512" i="13"/>
  <c r="G1856" i="13"/>
  <c r="E1341" i="13"/>
  <c r="F1341" i="13" s="1"/>
  <c r="D1342" i="13" s="1"/>
  <c r="G391" i="13" l="1"/>
  <c r="G1597" i="13"/>
  <c r="G648" i="13"/>
  <c r="G1341" i="13"/>
  <c r="G1943" i="13"/>
  <c r="G1169" i="13"/>
  <c r="G1083" i="13"/>
  <c r="G1857" i="13"/>
  <c r="G1685" i="13"/>
  <c r="G825" i="13"/>
  <c r="G477" i="13"/>
  <c r="G1771" i="13"/>
  <c r="G132" i="13"/>
  <c r="G561" i="13"/>
  <c r="E133" i="13"/>
  <c r="F133" i="13" s="1"/>
  <c r="D134" i="13" s="1"/>
  <c r="E220" i="13"/>
  <c r="F220" i="13" s="1"/>
  <c r="D221" i="13" s="1"/>
  <c r="G911" i="13"/>
  <c r="E1772" i="13"/>
  <c r="F1772" i="13" s="1"/>
  <c r="D1773" i="13" s="1"/>
  <c r="E912" i="13"/>
  <c r="F912" i="13" s="1"/>
  <c r="D913" i="13" s="1"/>
  <c r="E1084" i="13"/>
  <c r="F1084" i="13" s="1"/>
  <c r="D1085" i="13" s="1"/>
  <c r="E1598" i="13"/>
  <c r="F1598" i="13" s="1"/>
  <c r="D1599" i="13" s="1"/>
  <c r="E392" i="13"/>
  <c r="F392" i="13" s="1"/>
  <c r="D393" i="13" s="1"/>
  <c r="E1255" i="13"/>
  <c r="F1255" i="13" s="1"/>
  <c r="D1256" i="13" s="1"/>
  <c r="E738" i="13"/>
  <c r="F738" i="13" s="1"/>
  <c r="D739" i="13" s="1"/>
  <c r="E306" i="13"/>
  <c r="F306" i="13" s="1"/>
  <c r="D307" i="13" s="1"/>
  <c r="F562" i="13"/>
  <c r="D563" i="13" s="1"/>
  <c r="G1254" i="13"/>
  <c r="E1170" i="13"/>
  <c r="F1170" i="13" s="1"/>
  <c r="D1171" i="13" s="1"/>
  <c r="E1427" i="13"/>
  <c r="F1427" i="13" s="1"/>
  <c r="D1428" i="13" s="1"/>
  <c r="G737" i="13"/>
  <c r="G1513" i="13"/>
  <c r="E1858" i="13"/>
  <c r="F1858" i="13" s="1"/>
  <c r="D1859" i="13" s="1"/>
  <c r="E1514" i="13"/>
  <c r="F1514" i="13" s="1"/>
  <c r="D1515" i="13" s="1"/>
  <c r="G305" i="13"/>
  <c r="E1342" i="13"/>
  <c r="F1342" i="13" s="1"/>
  <c r="D1343" i="13" s="1"/>
  <c r="E1944" i="13"/>
  <c r="F1944" i="13" s="1"/>
  <c r="D1945" i="13" s="1"/>
  <c r="G1426" i="13"/>
  <c r="E649" i="13"/>
  <c r="F649" i="13" s="1"/>
  <c r="D650" i="13" s="1"/>
  <c r="E478" i="13"/>
  <c r="F478" i="13" s="1"/>
  <c r="D479" i="13" s="1"/>
  <c r="G219" i="13"/>
  <c r="E1686" i="13"/>
  <c r="F1686" i="13" s="1"/>
  <c r="D1687" i="13" s="1"/>
  <c r="E826" i="13"/>
  <c r="F826" i="13" s="1"/>
  <c r="D827" i="13" s="1"/>
  <c r="E2027" i="13"/>
  <c r="F2027" i="13" s="1"/>
  <c r="D2028" i="13" s="1"/>
  <c r="G826" i="13" l="1"/>
  <c r="G306" i="13"/>
  <c r="G649" i="13"/>
  <c r="G1084" i="13"/>
  <c r="G1686" i="13"/>
  <c r="G133" i="13"/>
  <c r="G1342" i="13"/>
  <c r="G1427" i="13"/>
  <c r="G1255" i="13"/>
  <c r="G912" i="13"/>
  <c r="G220" i="13"/>
  <c r="E650" i="13"/>
  <c r="F650" i="13" s="1"/>
  <c r="D651" i="13" s="1"/>
  <c r="G1514" i="13"/>
  <c r="E1428" i="13"/>
  <c r="F1428" i="13" s="1"/>
  <c r="D1429" i="13" s="1"/>
  <c r="G738" i="13"/>
  <c r="G1598" i="13"/>
  <c r="E1515" i="13"/>
  <c r="F1515" i="13" s="1"/>
  <c r="D1516" i="13" s="1"/>
  <c r="E1171" i="13"/>
  <c r="F1171" i="13" s="1"/>
  <c r="D1172" i="13" s="1"/>
  <c r="E739" i="13"/>
  <c r="F739" i="13" s="1"/>
  <c r="D740" i="13" s="1"/>
  <c r="E1599" i="13"/>
  <c r="F1599" i="13" s="1"/>
  <c r="D1600" i="13" s="1"/>
  <c r="G1858" i="13"/>
  <c r="G1170" i="13"/>
  <c r="G562" i="13"/>
  <c r="E1945" i="13"/>
  <c r="F1945" i="13" s="1"/>
  <c r="D1946" i="13" s="1"/>
  <c r="E1859" i="13"/>
  <c r="F1859" i="13" s="1"/>
  <c r="D1860" i="13" s="1"/>
  <c r="F563" i="13"/>
  <c r="D564" i="13" s="1"/>
  <c r="E1256" i="13"/>
  <c r="F1256" i="13" s="1"/>
  <c r="D1257" i="13" s="1"/>
  <c r="E1085" i="13"/>
  <c r="F1085" i="13" s="1"/>
  <c r="D1086" i="13" s="1"/>
  <c r="E134" i="13"/>
  <c r="F134" i="13" s="1"/>
  <c r="D135" i="13" s="1"/>
  <c r="G2027" i="13"/>
  <c r="G1944" i="13"/>
  <c r="E393" i="13"/>
  <c r="F393" i="13" s="1"/>
  <c r="D394" i="13" s="1"/>
  <c r="E1687" i="13"/>
  <c r="F1687" i="13" s="1"/>
  <c r="D1688" i="13" s="1"/>
  <c r="E2028" i="13"/>
  <c r="F2028" i="13" s="1"/>
  <c r="D2029" i="13" s="1"/>
  <c r="E479" i="13"/>
  <c r="F479" i="13" s="1"/>
  <c r="D480" i="13" s="1"/>
  <c r="E307" i="13"/>
  <c r="F307" i="13" s="1"/>
  <c r="D308" i="13" s="1"/>
  <c r="G392" i="13"/>
  <c r="E913" i="13"/>
  <c r="F913" i="13" s="1"/>
  <c r="D914" i="13" s="1"/>
  <c r="E1773" i="13"/>
  <c r="F1773" i="13" s="1"/>
  <c r="D1774" i="13" s="1"/>
  <c r="E827" i="13"/>
  <c r="F827" i="13" s="1"/>
  <c r="D828" i="13" s="1"/>
  <c r="G478" i="13"/>
  <c r="E1343" i="13"/>
  <c r="F1343" i="13" s="1"/>
  <c r="D1344" i="13" s="1"/>
  <c r="G1772" i="13"/>
  <c r="E221" i="13"/>
  <c r="F221" i="13" s="1"/>
  <c r="D222" i="13" s="1"/>
  <c r="G1859" i="13" l="1"/>
  <c r="G913" i="13"/>
  <c r="G221" i="13"/>
  <c r="G650" i="13"/>
  <c r="G479" i="13"/>
  <c r="G1515" i="13"/>
  <c r="G307" i="13"/>
  <c r="G1599" i="13"/>
  <c r="G134" i="13"/>
  <c r="G1171" i="13"/>
  <c r="E222" i="13"/>
  <c r="F222" i="13" s="1"/>
  <c r="D223" i="13" s="1"/>
  <c r="G1343" i="13"/>
  <c r="G1687" i="13"/>
  <c r="G393" i="13"/>
  <c r="G563" i="13"/>
  <c r="E1172" i="13"/>
  <c r="F1172" i="13" s="1"/>
  <c r="D1173" i="13" s="1"/>
  <c r="G1428" i="13"/>
  <c r="E1257" i="13"/>
  <c r="F1257" i="13" s="1"/>
  <c r="D1258" i="13" s="1"/>
  <c r="E1344" i="13"/>
  <c r="F1344" i="13" s="1"/>
  <c r="D1345" i="13" s="1"/>
  <c r="E1688" i="13"/>
  <c r="F1688" i="13" s="1"/>
  <c r="D1689" i="13" s="1"/>
  <c r="E394" i="13"/>
  <c r="F394" i="13" s="1"/>
  <c r="D395" i="13" s="1"/>
  <c r="F564" i="13"/>
  <c r="D565" i="13" s="1"/>
  <c r="E2029" i="13"/>
  <c r="F2029" i="13" s="1"/>
  <c r="E1946" i="13"/>
  <c r="F1946" i="13" s="1"/>
  <c r="D1947" i="13" s="1"/>
  <c r="E1516" i="13"/>
  <c r="F1516" i="13" s="1"/>
  <c r="D1517" i="13" s="1"/>
  <c r="E914" i="13"/>
  <c r="F914" i="13" s="1"/>
  <c r="D915" i="13" s="1"/>
  <c r="E135" i="13"/>
  <c r="F135" i="13" s="1"/>
  <c r="D136" i="13" s="1"/>
  <c r="E828" i="13"/>
  <c r="F828" i="13" s="1"/>
  <c r="D829" i="13" s="1"/>
  <c r="E480" i="13"/>
  <c r="F480" i="13" s="1"/>
  <c r="D481" i="13" s="1"/>
  <c r="E1086" i="13"/>
  <c r="F1086" i="13" s="1"/>
  <c r="D1087" i="13" s="1"/>
  <c r="E1600" i="13"/>
  <c r="F1600" i="13" s="1"/>
  <c r="D1601" i="13" s="1"/>
  <c r="E651" i="13"/>
  <c r="F651" i="13" s="1"/>
  <c r="D652" i="13" s="1"/>
  <c r="E1774" i="13"/>
  <c r="F1774" i="13" s="1"/>
  <c r="D1775" i="13" s="1"/>
  <c r="G827" i="13"/>
  <c r="G2028" i="13"/>
  <c r="G1085" i="13"/>
  <c r="E1860" i="13"/>
  <c r="F1860" i="13" s="1"/>
  <c r="D1861" i="13" s="1"/>
  <c r="E740" i="13"/>
  <c r="F740" i="13" s="1"/>
  <c r="D741" i="13" s="1"/>
  <c r="E1429" i="13"/>
  <c r="F1429" i="13" s="1"/>
  <c r="D1430" i="13" s="1"/>
  <c r="G1773" i="13"/>
  <c r="E308" i="13"/>
  <c r="F308" i="13" s="1"/>
  <c r="D309" i="13" s="1"/>
  <c r="G1256" i="13"/>
  <c r="G1945" i="13"/>
  <c r="G739" i="13"/>
  <c r="G828" i="13" l="1"/>
  <c r="G1086" i="13"/>
  <c r="G740" i="13"/>
  <c r="G135" i="13"/>
  <c r="G1516" i="13"/>
  <c r="G1172" i="13"/>
  <c r="G222" i="13"/>
  <c r="G1688" i="13"/>
  <c r="G394" i="13"/>
  <c r="G1429" i="13"/>
  <c r="G651" i="13"/>
  <c r="G1257" i="13"/>
  <c r="G914" i="13"/>
  <c r="G480" i="13"/>
  <c r="G1946" i="13"/>
  <c r="D2030" i="13"/>
  <c r="G2029" i="13"/>
  <c r="E309" i="13"/>
  <c r="F309" i="13" s="1"/>
  <c r="D310" i="13" s="1"/>
  <c r="G1860" i="13"/>
  <c r="E1601" i="13"/>
  <c r="F1601" i="13" s="1"/>
  <c r="D1602" i="13" s="1"/>
  <c r="E915" i="13"/>
  <c r="F915" i="13" s="1"/>
  <c r="D916" i="13" s="1"/>
  <c r="F565" i="13"/>
  <c r="D566" i="13" s="1"/>
  <c r="E1345" i="13"/>
  <c r="F1345" i="13" s="1"/>
  <c r="D1346" i="13" s="1"/>
  <c r="E1775" i="13"/>
  <c r="F1775" i="13" s="1"/>
  <c r="D1776" i="13" s="1"/>
  <c r="E1430" i="13"/>
  <c r="F1430" i="13" s="1"/>
  <c r="D1431" i="13" s="1"/>
  <c r="E1087" i="13"/>
  <c r="F1087" i="13" s="1"/>
  <c r="D1088" i="13" s="1"/>
  <c r="E395" i="13"/>
  <c r="F395" i="13" s="1"/>
  <c r="D396" i="13" s="1"/>
  <c r="E1258" i="13"/>
  <c r="F1258" i="13" s="1"/>
  <c r="D1259" i="13" s="1"/>
  <c r="E1861" i="13"/>
  <c r="F1861" i="13" s="1"/>
  <c r="D1862" i="13" s="1"/>
  <c r="E136" i="13"/>
  <c r="F136" i="13" s="1"/>
  <c r="D137" i="13" s="1"/>
  <c r="E1517" i="13"/>
  <c r="F1517" i="13" s="1"/>
  <c r="D1518" i="13" s="1"/>
  <c r="E652" i="13"/>
  <c r="F652" i="13" s="1"/>
  <c r="D653" i="13" s="1"/>
  <c r="E829" i="13"/>
  <c r="F829" i="13" s="1"/>
  <c r="D830" i="13" s="1"/>
  <c r="E1689" i="13"/>
  <c r="F1689" i="13" s="1"/>
  <c r="D1690" i="13" s="1"/>
  <c r="G1774" i="13"/>
  <c r="G308" i="13"/>
  <c r="E741" i="13"/>
  <c r="F741" i="13" s="1"/>
  <c r="D742" i="13" s="1"/>
  <c r="G1600" i="13"/>
  <c r="E481" i="13"/>
  <c r="F481" i="13" s="1"/>
  <c r="D482" i="13" s="1"/>
  <c r="E1947" i="13"/>
  <c r="F1947" i="13" s="1"/>
  <c r="D1948" i="13" s="1"/>
  <c r="G564" i="13"/>
  <c r="G1344" i="13"/>
  <c r="E1173" i="13"/>
  <c r="F1173" i="13" s="1"/>
  <c r="D1174" i="13" s="1"/>
  <c r="E223" i="13"/>
  <c r="F223" i="13" s="1"/>
  <c r="D224" i="13" s="1"/>
  <c r="G223" i="13" l="1"/>
  <c r="G1775" i="13"/>
  <c r="G1258" i="13"/>
  <c r="G136" i="13"/>
  <c r="G481" i="13"/>
  <c r="G309" i="13"/>
  <c r="G1173" i="13"/>
  <c r="G1517" i="13"/>
  <c r="G1345" i="13"/>
  <c r="G1947" i="13"/>
  <c r="E742" i="13"/>
  <c r="F742" i="13" s="1"/>
  <c r="D743" i="13" s="1"/>
  <c r="G1689" i="13"/>
  <c r="G829" i="13"/>
  <c r="G1861" i="13"/>
  <c r="G1087" i="13"/>
  <c r="E1431" i="13"/>
  <c r="F1431" i="13" s="1"/>
  <c r="D1432" i="13" s="1"/>
  <c r="G565" i="13"/>
  <c r="E1602" i="13"/>
  <c r="F1602" i="13" s="1"/>
  <c r="D1603" i="13" s="1"/>
  <c r="E1948" i="13"/>
  <c r="F1948" i="13" s="1"/>
  <c r="D1949" i="13" s="1"/>
  <c r="E1518" i="13"/>
  <c r="F1518" i="13" s="1"/>
  <c r="D1519" i="13" s="1"/>
  <c r="E1259" i="13"/>
  <c r="F1259" i="13" s="1"/>
  <c r="D1260" i="13" s="1"/>
  <c r="G915" i="13"/>
  <c r="E310" i="13"/>
  <c r="F310" i="13" s="1"/>
  <c r="D311" i="13" s="1"/>
  <c r="E396" i="13"/>
  <c r="F396" i="13" s="1"/>
  <c r="D397" i="13" s="1"/>
  <c r="E830" i="13"/>
  <c r="F830" i="13" s="1"/>
  <c r="D831" i="13" s="1"/>
  <c r="E1088" i="13"/>
  <c r="F1088" i="13" s="1"/>
  <c r="D1089" i="13" s="1"/>
  <c r="E653" i="13"/>
  <c r="F653" i="13" s="1"/>
  <c r="D654" i="13" s="1"/>
  <c r="G652" i="13"/>
  <c r="E1174" i="13"/>
  <c r="F1174" i="13" s="1"/>
  <c r="D1175" i="13" s="1"/>
  <c r="G395" i="13"/>
  <c r="E1776" i="13"/>
  <c r="F1776" i="13" s="1"/>
  <c r="D1777" i="13" s="1"/>
  <c r="E1690" i="13"/>
  <c r="F1690" i="13" s="1"/>
  <c r="D1691" i="13" s="1"/>
  <c r="E224" i="13"/>
  <c r="F224" i="13" s="1"/>
  <c r="D225" i="13" s="1"/>
  <c r="E482" i="13"/>
  <c r="F482" i="13" s="1"/>
  <c r="D483" i="13" s="1"/>
  <c r="E1862" i="13"/>
  <c r="F1862" i="13" s="1"/>
  <c r="D1863" i="13" s="1"/>
  <c r="F566" i="13"/>
  <c r="D567" i="13" s="1"/>
  <c r="E916" i="13"/>
  <c r="F916" i="13" s="1"/>
  <c r="D917" i="13" s="1"/>
  <c r="G741" i="13"/>
  <c r="E137" i="13"/>
  <c r="F137" i="13" s="1"/>
  <c r="D138" i="13" s="1"/>
  <c r="G1430" i="13"/>
  <c r="E1346" i="13"/>
  <c r="F1346" i="13" s="1"/>
  <c r="D1347" i="13" s="1"/>
  <c r="G1601" i="13"/>
  <c r="E2030" i="13"/>
  <c r="F2030" i="13" s="1"/>
  <c r="D2031" i="13" s="1"/>
  <c r="G1088" i="13" l="1"/>
  <c r="G1518" i="13"/>
  <c r="G1174" i="13"/>
  <c r="G1431" i="13"/>
  <c r="G742" i="13"/>
  <c r="G1602" i="13"/>
  <c r="G1948" i="13"/>
  <c r="G2030" i="13"/>
  <c r="G137" i="13"/>
  <c r="G224" i="13"/>
  <c r="G396" i="13"/>
  <c r="E1949" i="13"/>
  <c r="F1949" i="13" s="1"/>
  <c r="D1950" i="13" s="1"/>
  <c r="E2031" i="13"/>
  <c r="F2031" i="13" s="1"/>
  <c r="D2032" i="13" s="1"/>
  <c r="E138" i="13"/>
  <c r="F138" i="13" s="1"/>
  <c r="D139" i="13" s="1"/>
  <c r="E225" i="13"/>
  <c r="F225" i="13" s="1"/>
  <c r="D226" i="13" s="1"/>
  <c r="E397" i="13"/>
  <c r="F397" i="13" s="1"/>
  <c r="D398" i="13" s="1"/>
  <c r="G566" i="13"/>
  <c r="G1690" i="13"/>
  <c r="E1175" i="13"/>
  <c r="F1175" i="13" s="1"/>
  <c r="D1176" i="13" s="1"/>
  <c r="E654" i="13"/>
  <c r="F654" i="13" s="1"/>
  <c r="D655" i="13" s="1"/>
  <c r="E1603" i="13"/>
  <c r="F1603" i="13" s="1"/>
  <c r="D1604" i="13" s="1"/>
  <c r="E831" i="13"/>
  <c r="F831" i="13" s="1"/>
  <c r="D832" i="13" s="1"/>
  <c r="E1691" i="13"/>
  <c r="F1691" i="13" s="1"/>
  <c r="D1692" i="13" s="1"/>
  <c r="G653" i="13"/>
  <c r="E1260" i="13"/>
  <c r="F1260" i="13" s="1"/>
  <c r="D1261" i="13" s="1"/>
  <c r="E483" i="13"/>
  <c r="F483" i="13" s="1"/>
  <c r="D484" i="13" s="1"/>
  <c r="G1346" i="13"/>
  <c r="G1862" i="13"/>
  <c r="G1776" i="13"/>
  <c r="G1259" i="13"/>
  <c r="E917" i="13"/>
  <c r="F917" i="13" s="1"/>
  <c r="D918" i="13" s="1"/>
  <c r="E311" i="13"/>
  <c r="F311" i="13" s="1"/>
  <c r="D312" i="13" s="1"/>
  <c r="F567" i="13"/>
  <c r="D568" i="13" s="1"/>
  <c r="E1347" i="13"/>
  <c r="F1347" i="13" s="1"/>
  <c r="D1348" i="13" s="1"/>
  <c r="E1863" i="13"/>
  <c r="F1863" i="13" s="1"/>
  <c r="D1864" i="13" s="1"/>
  <c r="E1777" i="13"/>
  <c r="F1777" i="13" s="1"/>
  <c r="D1778" i="13" s="1"/>
  <c r="E1089" i="13"/>
  <c r="F1089" i="13" s="1"/>
  <c r="D1090" i="13" s="1"/>
  <c r="E1432" i="13"/>
  <c r="F1432" i="13" s="1"/>
  <c r="D1433" i="13" s="1"/>
  <c r="E743" i="13"/>
  <c r="F743" i="13" s="1"/>
  <c r="D744" i="13" s="1"/>
  <c r="G916" i="13"/>
  <c r="G482" i="13"/>
  <c r="G830" i="13"/>
  <c r="G310" i="13"/>
  <c r="E1519" i="13"/>
  <c r="F1519" i="13" s="1"/>
  <c r="D1520" i="13" s="1"/>
  <c r="G1519" i="13" l="1"/>
  <c r="G311" i="13"/>
  <c r="G1347" i="13"/>
  <c r="G1949" i="13"/>
  <c r="G225" i="13"/>
  <c r="G1260" i="13"/>
  <c r="G1432" i="13"/>
  <c r="G831" i="13"/>
  <c r="G397" i="13"/>
  <c r="G1863" i="13"/>
  <c r="G1691" i="13"/>
  <c r="G1603" i="13"/>
  <c r="G1175" i="13"/>
  <c r="G2031" i="13"/>
  <c r="E1090" i="13"/>
  <c r="F1090" i="13" s="1"/>
  <c r="D1091" i="13" s="1"/>
  <c r="F568" i="13"/>
  <c r="D569" i="13" s="1"/>
  <c r="G654" i="13"/>
  <c r="E139" i="13"/>
  <c r="F139" i="13" s="1"/>
  <c r="D140" i="13" s="1"/>
  <c r="E398" i="13"/>
  <c r="F398" i="13" s="1"/>
  <c r="D399" i="13" s="1"/>
  <c r="E2032" i="13"/>
  <c r="F2032" i="13" s="1"/>
  <c r="D2033" i="13" s="1"/>
  <c r="E655" i="13"/>
  <c r="F655" i="13" s="1"/>
  <c r="D656" i="13" s="1"/>
  <c r="E312" i="13"/>
  <c r="F312" i="13" s="1"/>
  <c r="D313" i="13" s="1"/>
  <c r="E918" i="13"/>
  <c r="F918" i="13" s="1"/>
  <c r="D919" i="13" s="1"/>
  <c r="E832" i="13"/>
  <c r="F832" i="13" s="1"/>
  <c r="D833" i="13" s="1"/>
  <c r="E1176" i="13"/>
  <c r="F1176" i="13" s="1"/>
  <c r="D1177" i="13" s="1"/>
  <c r="G1777" i="13"/>
  <c r="E1864" i="13"/>
  <c r="F1864" i="13" s="1"/>
  <c r="D1865" i="13" s="1"/>
  <c r="E1261" i="13"/>
  <c r="F1261" i="13" s="1"/>
  <c r="D1262" i="13" s="1"/>
  <c r="E744" i="13"/>
  <c r="F744" i="13" s="1"/>
  <c r="D745" i="13" s="1"/>
  <c r="E484" i="13"/>
  <c r="F484" i="13" s="1"/>
  <c r="D485" i="13" s="1"/>
  <c r="E1950" i="13"/>
  <c r="F1950" i="13" s="1"/>
  <c r="D1951" i="13" s="1"/>
  <c r="E1778" i="13"/>
  <c r="F1778" i="13" s="1"/>
  <c r="D1779" i="13" s="1"/>
  <c r="G917" i="13"/>
  <c r="E1348" i="13"/>
  <c r="F1348" i="13" s="1"/>
  <c r="D1349" i="13" s="1"/>
  <c r="G483" i="13"/>
  <c r="E226" i="13"/>
  <c r="F226" i="13" s="1"/>
  <c r="D227" i="13" s="1"/>
  <c r="G743" i="13"/>
  <c r="E1433" i="13"/>
  <c r="F1433" i="13" s="1"/>
  <c r="D1434" i="13" s="1"/>
  <c r="E1520" i="13"/>
  <c r="F1520" i="13" s="1"/>
  <c r="D1521" i="13" s="1"/>
  <c r="G1089" i="13"/>
  <c r="G567" i="13"/>
  <c r="E1692" i="13"/>
  <c r="F1692" i="13" s="1"/>
  <c r="D1693" i="13" s="1"/>
  <c r="E1604" i="13"/>
  <c r="F1604" i="13" s="1"/>
  <c r="D1605" i="13" s="1"/>
  <c r="G138" i="13"/>
  <c r="G1950" i="13" l="1"/>
  <c r="G655" i="13"/>
  <c r="G744" i="13"/>
  <c r="G1261" i="13"/>
  <c r="G1348" i="13"/>
  <c r="G2032" i="13"/>
  <c r="G1433" i="13"/>
  <c r="G832" i="13"/>
  <c r="G918" i="13"/>
  <c r="G1176" i="13"/>
  <c r="G1090" i="13"/>
  <c r="G312" i="13"/>
  <c r="G398" i="13"/>
  <c r="G1604" i="13"/>
  <c r="G568" i="13"/>
  <c r="G484" i="13"/>
  <c r="G1864" i="13"/>
  <c r="G226" i="13"/>
  <c r="E485" i="13"/>
  <c r="F485" i="13" s="1"/>
  <c r="D486" i="13" s="1"/>
  <c r="E1865" i="13"/>
  <c r="F1865" i="13" s="1"/>
  <c r="D1866" i="13" s="1"/>
  <c r="E919" i="13"/>
  <c r="F919" i="13" s="1"/>
  <c r="D920" i="13" s="1"/>
  <c r="E2033" i="13"/>
  <c r="F2033" i="13" s="1"/>
  <c r="D2034" i="13" s="1"/>
  <c r="F569" i="13"/>
  <c r="D570" i="13" s="1"/>
  <c r="E227" i="13"/>
  <c r="F227" i="13" s="1"/>
  <c r="D228" i="13" s="1"/>
  <c r="E1177" i="13"/>
  <c r="F1177" i="13" s="1"/>
  <c r="D1178" i="13" s="1"/>
  <c r="E140" i="13"/>
  <c r="F140" i="13" s="1"/>
  <c r="D141" i="13" s="1"/>
  <c r="E1605" i="13"/>
  <c r="F1605" i="13" s="1"/>
  <c r="D1606" i="13" s="1"/>
  <c r="G1692" i="13"/>
  <c r="E1349" i="13"/>
  <c r="F1349" i="13" s="1"/>
  <c r="D1350" i="13" s="1"/>
  <c r="E313" i="13"/>
  <c r="F313" i="13" s="1"/>
  <c r="D314" i="13" s="1"/>
  <c r="E399" i="13"/>
  <c r="F399" i="13" s="1"/>
  <c r="D400" i="13" s="1"/>
  <c r="G139" i="13"/>
  <c r="E1091" i="13"/>
  <c r="F1091" i="13" s="1"/>
  <c r="D1092" i="13" s="1"/>
  <c r="E1779" i="13"/>
  <c r="F1779" i="13" s="1"/>
  <c r="D1780" i="13" s="1"/>
  <c r="E1434" i="13"/>
  <c r="F1434" i="13" s="1"/>
  <c r="D1435" i="13" s="1"/>
  <c r="E1951" i="13"/>
  <c r="F1951" i="13" s="1"/>
  <c r="D1952" i="13" s="1"/>
  <c r="E1693" i="13"/>
  <c r="F1693" i="13" s="1"/>
  <c r="D1694" i="13" s="1"/>
  <c r="E1521" i="13"/>
  <c r="F1521" i="13" s="1"/>
  <c r="D1522" i="13" s="1"/>
  <c r="E745" i="13"/>
  <c r="F745" i="13" s="1"/>
  <c r="D746" i="13" s="1"/>
  <c r="E1262" i="13"/>
  <c r="F1262" i="13" s="1"/>
  <c r="D1263" i="13" s="1"/>
  <c r="E833" i="13"/>
  <c r="F833" i="13" s="1"/>
  <c r="D834" i="13" s="1"/>
  <c r="G1520" i="13"/>
  <c r="G1778" i="13"/>
  <c r="E656" i="13"/>
  <c r="F656" i="13" s="1"/>
  <c r="D657" i="13" s="1"/>
  <c r="G2033" i="13" l="1"/>
  <c r="G745" i="13"/>
  <c r="G1865" i="13"/>
  <c r="G833" i="13"/>
  <c r="G1091" i="13"/>
  <c r="G313" i="13"/>
  <c r="G1262" i="13"/>
  <c r="G1434" i="13"/>
  <c r="G1605" i="13"/>
  <c r="G1693" i="13"/>
  <c r="G140" i="13"/>
  <c r="E1522" i="13"/>
  <c r="F1522" i="13" s="1"/>
  <c r="D1523" i="13" s="1"/>
  <c r="E1780" i="13"/>
  <c r="F1780" i="13" s="1"/>
  <c r="D1781" i="13" s="1"/>
  <c r="G1349" i="13"/>
  <c r="F570" i="13"/>
  <c r="D571" i="13" s="1"/>
  <c r="G485" i="13"/>
  <c r="E1694" i="13"/>
  <c r="F1694" i="13" s="1"/>
  <c r="D1695" i="13" s="1"/>
  <c r="E2034" i="13"/>
  <c r="F2034" i="13" s="1"/>
  <c r="E1350" i="13"/>
  <c r="F1350" i="13" s="1"/>
  <c r="D1351" i="13" s="1"/>
  <c r="E1178" i="13"/>
  <c r="F1178" i="13" s="1"/>
  <c r="D1179" i="13" s="1"/>
  <c r="G919" i="13"/>
  <c r="E834" i="13"/>
  <c r="F834" i="13" s="1"/>
  <c r="D835" i="13" s="1"/>
  <c r="G1951" i="13"/>
  <c r="E920" i="13"/>
  <c r="F920" i="13" s="1"/>
  <c r="D921" i="13" s="1"/>
  <c r="E486" i="13"/>
  <c r="F486" i="13" s="1"/>
  <c r="D487" i="13" s="1"/>
  <c r="E1263" i="13"/>
  <c r="F1263" i="13" s="1"/>
  <c r="D1264" i="13" s="1"/>
  <c r="G399" i="13"/>
  <c r="E228" i="13"/>
  <c r="F228" i="13" s="1"/>
  <c r="D229" i="13" s="1"/>
  <c r="E400" i="13"/>
  <c r="F400" i="13" s="1"/>
  <c r="D401" i="13" s="1"/>
  <c r="G1177" i="13"/>
  <c r="E1435" i="13"/>
  <c r="F1435" i="13" s="1"/>
  <c r="D1436" i="13" s="1"/>
  <c r="E141" i="13"/>
  <c r="F141" i="13" s="1"/>
  <c r="D142" i="13" s="1"/>
  <c r="G227" i="13"/>
  <c r="E657" i="13"/>
  <c r="F657" i="13" s="1"/>
  <c r="D658" i="13" s="1"/>
  <c r="E1092" i="13"/>
  <c r="F1092" i="13" s="1"/>
  <c r="D1093" i="13" s="1"/>
  <c r="E1952" i="13"/>
  <c r="F1952" i="13" s="1"/>
  <c r="D1953" i="13" s="1"/>
  <c r="E746" i="13"/>
  <c r="F746" i="13" s="1"/>
  <c r="D747" i="13" s="1"/>
  <c r="G656" i="13"/>
  <c r="G1521" i="13"/>
  <c r="G1779" i="13"/>
  <c r="E314" i="13"/>
  <c r="F314" i="13" s="1"/>
  <c r="D315" i="13" s="1"/>
  <c r="E1606" i="13"/>
  <c r="F1606" i="13" s="1"/>
  <c r="D1607" i="13" s="1"/>
  <c r="G569" i="13"/>
  <c r="E1866" i="13"/>
  <c r="F1866" i="13" s="1"/>
  <c r="D1867" i="13" s="1"/>
  <c r="G1694" i="13" l="1"/>
  <c r="G1522" i="13"/>
  <c r="G1435" i="13"/>
  <c r="G570" i="13"/>
  <c r="G834" i="13"/>
  <c r="G400" i="13"/>
  <c r="G657" i="13"/>
  <c r="G228" i="13"/>
  <c r="G141" i="13"/>
  <c r="G1263" i="13"/>
  <c r="G1350" i="13"/>
  <c r="G920" i="13"/>
  <c r="G486" i="13"/>
  <c r="G314" i="13"/>
  <c r="G1780" i="13"/>
  <c r="D2035" i="13"/>
  <c r="G2034" i="13"/>
  <c r="E1093" i="13"/>
  <c r="F1093" i="13" s="1"/>
  <c r="D1094" i="13" s="1"/>
  <c r="E921" i="13"/>
  <c r="F921" i="13" s="1"/>
  <c r="D922" i="13" s="1"/>
  <c r="G1606" i="13"/>
  <c r="G746" i="13"/>
  <c r="G1092" i="13"/>
  <c r="E1179" i="13"/>
  <c r="F1179" i="13" s="1"/>
  <c r="D1180" i="13" s="1"/>
  <c r="E1607" i="13"/>
  <c r="F1607" i="13" s="1"/>
  <c r="D1608" i="13" s="1"/>
  <c r="E142" i="13"/>
  <c r="F142" i="13" s="1"/>
  <c r="D143" i="13" s="1"/>
  <c r="E1264" i="13"/>
  <c r="F1264" i="13" s="1"/>
  <c r="D1265" i="13" s="1"/>
  <c r="G1178" i="13"/>
  <c r="E1781" i="13"/>
  <c r="F1781" i="13" s="1"/>
  <c r="D1782" i="13" s="1"/>
  <c r="E658" i="13"/>
  <c r="F658" i="13" s="1"/>
  <c r="D659" i="13" s="1"/>
  <c r="E229" i="13"/>
  <c r="F229" i="13" s="1"/>
  <c r="D230" i="13" s="1"/>
  <c r="E835" i="13"/>
  <c r="F835" i="13" s="1"/>
  <c r="D836" i="13" s="1"/>
  <c r="E747" i="13"/>
  <c r="F747" i="13" s="1"/>
  <c r="D748" i="13" s="1"/>
  <c r="E315" i="13"/>
  <c r="F315" i="13" s="1"/>
  <c r="D316" i="13" s="1"/>
  <c r="G1952" i="13"/>
  <c r="E487" i="13"/>
  <c r="F487" i="13" s="1"/>
  <c r="D488" i="13" s="1"/>
  <c r="F571" i="13"/>
  <c r="D572" i="13" s="1"/>
  <c r="E1523" i="13"/>
  <c r="F1523" i="13" s="1"/>
  <c r="D1524" i="13" s="1"/>
  <c r="E1953" i="13"/>
  <c r="F1953" i="13" s="1"/>
  <c r="D1954" i="13" s="1"/>
  <c r="E401" i="13"/>
  <c r="F401" i="13" s="1"/>
  <c r="D402" i="13" s="1"/>
  <c r="E1695" i="13"/>
  <c r="F1695" i="13" s="1"/>
  <c r="D1696" i="13" s="1"/>
  <c r="E1867" i="13"/>
  <c r="F1867" i="13" s="1"/>
  <c r="D1868" i="13" s="1"/>
  <c r="G1866" i="13"/>
  <c r="E1436" i="13"/>
  <c r="F1436" i="13" s="1"/>
  <c r="D1437" i="13" s="1"/>
  <c r="E1351" i="13"/>
  <c r="F1351" i="13" s="1"/>
  <c r="D1352" i="13" s="1"/>
  <c r="G1179" i="13" l="1"/>
  <c r="G229" i="13"/>
  <c r="G315" i="13"/>
  <c r="G921" i="13"/>
  <c r="G1351" i="13"/>
  <c r="G487" i="13"/>
  <c r="G1867" i="13"/>
  <c r="G835" i="13"/>
  <c r="G747" i="13"/>
  <c r="G1781" i="13"/>
  <c r="G142" i="13"/>
  <c r="G1436" i="13"/>
  <c r="G401" i="13"/>
  <c r="G571" i="13"/>
  <c r="G1093" i="13"/>
  <c r="G1264" i="13"/>
  <c r="G1607" i="13"/>
  <c r="E143" i="13"/>
  <c r="F143" i="13" s="1"/>
  <c r="D144" i="13" s="1"/>
  <c r="E1180" i="13"/>
  <c r="F1180" i="13" s="1"/>
  <c r="D1181" i="13" s="1"/>
  <c r="E922" i="13"/>
  <c r="F922" i="13" s="1"/>
  <c r="D923" i="13" s="1"/>
  <c r="E1696" i="13"/>
  <c r="F1696" i="13" s="1"/>
  <c r="D1697" i="13" s="1"/>
  <c r="E230" i="13"/>
  <c r="F230" i="13" s="1"/>
  <c r="D231" i="13" s="1"/>
  <c r="E1437" i="13"/>
  <c r="F1437" i="13" s="1"/>
  <c r="D1438" i="13" s="1"/>
  <c r="E748" i="13"/>
  <c r="F748" i="13" s="1"/>
  <c r="D749" i="13" s="1"/>
  <c r="G1523" i="13"/>
  <c r="E1352" i="13"/>
  <c r="F1352" i="13" s="1"/>
  <c r="D1353" i="13" s="1"/>
  <c r="E1954" i="13"/>
  <c r="F1954" i="13" s="1"/>
  <c r="D1955" i="13" s="1"/>
  <c r="E402" i="13"/>
  <c r="F402" i="13" s="1"/>
  <c r="D403" i="13" s="1"/>
  <c r="E1868" i="13"/>
  <c r="F1868" i="13" s="1"/>
  <c r="D1869" i="13" s="1"/>
  <c r="F572" i="13"/>
  <c r="D573" i="13" s="1"/>
  <c r="E659" i="13"/>
  <c r="F659" i="13" s="1"/>
  <c r="D660" i="13" s="1"/>
  <c r="E1265" i="13"/>
  <c r="F1265" i="13" s="1"/>
  <c r="D1266" i="13" s="1"/>
  <c r="E1608" i="13"/>
  <c r="F1608" i="13" s="1"/>
  <c r="D1609" i="13" s="1"/>
  <c r="E1782" i="13"/>
  <c r="F1782" i="13" s="1"/>
  <c r="D1783" i="13" s="1"/>
  <c r="E488" i="13"/>
  <c r="F488" i="13" s="1"/>
  <c r="D489" i="13" s="1"/>
  <c r="E1524" i="13"/>
  <c r="F1524" i="13" s="1"/>
  <c r="D1525" i="13" s="1"/>
  <c r="G1695" i="13"/>
  <c r="G1953" i="13"/>
  <c r="E316" i="13"/>
  <c r="F316" i="13" s="1"/>
  <c r="D317" i="13" s="1"/>
  <c r="E836" i="13"/>
  <c r="F836" i="13" s="1"/>
  <c r="D837" i="13" s="1"/>
  <c r="G658" i="13"/>
  <c r="E1094" i="13"/>
  <c r="F1094" i="13" s="1"/>
  <c r="D1095" i="13" s="1"/>
  <c r="E2035" i="13"/>
  <c r="F2035" i="13" s="1"/>
  <c r="G402" i="13" l="1"/>
  <c r="G659" i="13"/>
  <c r="G748" i="13"/>
  <c r="G316" i="13"/>
  <c r="G1524" i="13"/>
  <c r="G1696" i="13"/>
  <c r="G230" i="13"/>
  <c r="G143" i="13"/>
  <c r="G488" i="13"/>
  <c r="D2036" i="13"/>
  <c r="E2036" i="13" s="1"/>
  <c r="F2036" i="13" s="1"/>
  <c r="D2037" i="13" s="1"/>
  <c r="G2035" i="13"/>
  <c r="G836" i="13"/>
  <c r="G1608" i="13"/>
  <c r="G1954" i="13"/>
  <c r="G1437" i="13"/>
  <c r="G922" i="13"/>
  <c r="G1782" i="13"/>
  <c r="G1265" i="13"/>
  <c r="F573" i="13"/>
  <c r="D574" i="13" s="1"/>
  <c r="E231" i="13"/>
  <c r="F231" i="13" s="1"/>
  <c r="D232" i="13" s="1"/>
  <c r="G1180" i="13"/>
  <c r="E1783" i="13"/>
  <c r="F1783" i="13" s="1"/>
  <c r="D1784" i="13" s="1"/>
  <c r="E1266" i="13"/>
  <c r="F1266" i="13" s="1"/>
  <c r="D1267" i="13" s="1"/>
  <c r="G572" i="13"/>
  <c r="E1869" i="13"/>
  <c r="F1869" i="13" s="1"/>
  <c r="D1870" i="13" s="1"/>
  <c r="E1697" i="13"/>
  <c r="F1697" i="13" s="1"/>
  <c r="D1698" i="13" s="1"/>
  <c r="E144" i="13"/>
  <c r="F144" i="13" s="1"/>
  <c r="D145" i="13" s="1"/>
  <c r="E660" i="13"/>
  <c r="F660" i="13" s="1"/>
  <c r="D661" i="13" s="1"/>
  <c r="G1868" i="13"/>
  <c r="E1955" i="13"/>
  <c r="F1955" i="13" s="1"/>
  <c r="D1956" i="13" s="1"/>
  <c r="G1094" i="13"/>
  <c r="E837" i="13"/>
  <c r="F837" i="13" s="1"/>
  <c r="D838" i="13" s="1"/>
  <c r="E1438" i="13"/>
  <c r="F1438" i="13" s="1"/>
  <c r="D1439" i="13" s="1"/>
  <c r="E923" i="13"/>
  <c r="F923" i="13" s="1"/>
  <c r="D924" i="13" s="1"/>
  <c r="E1181" i="13"/>
  <c r="F1181" i="13" s="1"/>
  <c r="D1182" i="13" s="1"/>
  <c r="E1095" i="13"/>
  <c r="F1095" i="13" s="1"/>
  <c r="D1096" i="13" s="1"/>
  <c r="E489" i="13"/>
  <c r="F489" i="13" s="1"/>
  <c r="D490" i="13" s="1"/>
  <c r="E403" i="13"/>
  <c r="F403" i="13" s="1"/>
  <c r="D404" i="13" s="1"/>
  <c r="E1353" i="13"/>
  <c r="F1353" i="13" s="1"/>
  <c r="D1354" i="13" s="1"/>
  <c r="E1525" i="13"/>
  <c r="F1525" i="13" s="1"/>
  <c r="D1526" i="13" s="1"/>
  <c r="E317" i="13"/>
  <c r="F317" i="13" s="1"/>
  <c r="D318" i="13" s="1"/>
  <c r="E1609" i="13"/>
  <c r="F1609" i="13" s="1"/>
  <c r="D1610" i="13" s="1"/>
  <c r="G1352" i="13"/>
  <c r="E749" i="13"/>
  <c r="F749" i="13" s="1"/>
  <c r="D750" i="13" s="1"/>
  <c r="G144" i="13" l="1"/>
  <c r="G573" i="13"/>
  <c r="G231" i="13"/>
  <c r="G1095" i="13"/>
  <c r="G1783" i="13"/>
  <c r="G1181" i="13"/>
  <c r="G2036" i="13"/>
  <c r="G1955" i="13"/>
  <c r="G1697" i="13"/>
  <c r="G1438" i="13"/>
  <c r="G1869" i="13"/>
  <c r="G1609" i="13"/>
  <c r="G317" i="13"/>
  <c r="G489" i="13"/>
  <c r="G923" i="13"/>
  <c r="G837" i="13"/>
  <c r="G749" i="13"/>
  <c r="G1353" i="13"/>
  <c r="E1439" i="13"/>
  <c r="F1439" i="13" s="1"/>
  <c r="D1440" i="13" s="1"/>
  <c r="G660" i="13"/>
  <c r="E1267" i="13"/>
  <c r="F1267" i="13" s="1"/>
  <c r="D1268" i="13" s="1"/>
  <c r="E750" i="13"/>
  <c r="F750" i="13" s="1"/>
  <c r="D751" i="13" s="1"/>
  <c r="E1784" i="13"/>
  <c r="F1784" i="13" s="1"/>
  <c r="D1785" i="13" s="1"/>
  <c r="E1354" i="13"/>
  <c r="F1354" i="13" s="1"/>
  <c r="D1355" i="13" s="1"/>
  <c r="E1870" i="13"/>
  <c r="F1870" i="13" s="1"/>
  <c r="D1871" i="13" s="1"/>
  <c r="F574" i="13"/>
  <c r="D575" i="13" s="1"/>
  <c r="E1526" i="13"/>
  <c r="F1526" i="13" s="1"/>
  <c r="D1527" i="13" s="1"/>
  <c r="E318" i="13"/>
  <c r="F318" i="13" s="1"/>
  <c r="D319" i="13" s="1"/>
  <c r="G1525" i="13"/>
  <c r="E1182" i="13"/>
  <c r="F1182" i="13" s="1"/>
  <c r="D1183" i="13" s="1"/>
  <c r="E145" i="13"/>
  <c r="F145" i="13" s="1"/>
  <c r="D146" i="13" s="1"/>
  <c r="E232" i="13"/>
  <c r="F232" i="13" s="1"/>
  <c r="D233" i="13" s="1"/>
  <c r="G403" i="13"/>
  <c r="E2037" i="13"/>
  <c r="F2037" i="13" s="1"/>
  <c r="D2038" i="13" s="1"/>
  <c r="E1956" i="13"/>
  <c r="F1956" i="13" s="1"/>
  <c r="D1957" i="13" s="1"/>
  <c r="E661" i="13"/>
  <c r="F661" i="13" s="1"/>
  <c r="D662" i="13" s="1"/>
  <c r="E1096" i="13"/>
  <c r="F1096" i="13" s="1"/>
  <c r="D1097" i="13" s="1"/>
  <c r="E404" i="13"/>
  <c r="F404" i="13" s="1"/>
  <c r="D405" i="13" s="1"/>
  <c r="E1610" i="13"/>
  <c r="F1610" i="13" s="1"/>
  <c r="D1611" i="13" s="1"/>
  <c r="E490" i="13"/>
  <c r="F490" i="13" s="1"/>
  <c r="D491" i="13" s="1"/>
  <c r="E924" i="13"/>
  <c r="F924" i="13" s="1"/>
  <c r="D925" i="13" s="1"/>
  <c r="E838" i="13"/>
  <c r="F838" i="13" s="1"/>
  <c r="D839" i="13" s="1"/>
  <c r="E1698" i="13"/>
  <c r="F1698" i="13" s="1"/>
  <c r="D1699" i="13" s="1"/>
  <c r="G1266" i="13"/>
  <c r="G1267" i="13" l="1"/>
  <c r="G2037" i="13"/>
  <c r="G574" i="13"/>
  <c r="G1526" i="13"/>
  <c r="G404" i="13"/>
  <c r="G1870" i="13"/>
  <c r="G750" i="13"/>
  <c r="G232" i="13"/>
  <c r="G1354" i="13"/>
  <c r="G145" i="13"/>
  <c r="G1610" i="13"/>
  <c r="G838" i="13"/>
  <c r="G1956" i="13"/>
  <c r="G1784" i="13"/>
  <c r="E662" i="13"/>
  <c r="F662" i="13" s="1"/>
  <c r="D663" i="13" s="1"/>
  <c r="G1182" i="13"/>
  <c r="E1785" i="13"/>
  <c r="F1785" i="13" s="1"/>
  <c r="D1786" i="13" s="1"/>
  <c r="E1183" i="13"/>
  <c r="F1183" i="13" s="1"/>
  <c r="D1184" i="13" s="1"/>
  <c r="E839" i="13"/>
  <c r="F839" i="13" s="1"/>
  <c r="D840" i="13" s="1"/>
  <c r="E405" i="13"/>
  <c r="F405" i="13" s="1"/>
  <c r="D406" i="13" s="1"/>
  <c r="E925" i="13"/>
  <c r="F925" i="13" s="1"/>
  <c r="D926" i="13" s="1"/>
  <c r="G1096" i="13"/>
  <c r="E233" i="13"/>
  <c r="F233" i="13" s="1"/>
  <c r="D234" i="13" s="1"/>
  <c r="G318" i="13"/>
  <c r="E1871" i="13"/>
  <c r="F1871" i="13" s="1"/>
  <c r="D1872" i="13" s="1"/>
  <c r="E751" i="13"/>
  <c r="F751" i="13" s="1"/>
  <c r="D752" i="13" s="1"/>
  <c r="G1439" i="13"/>
  <c r="E319" i="13"/>
  <c r="F319" i="13" s="1"/>
  <c r="D320" i="13" s="1"/>
  <c r="E1527" i="13"/>
  <c r="F1527" i="13" s="1"/>
  <c r="D1528" i="13" s="1"/>
  <c r="E1440" i="13"/>
  <c r="F1440" i="13" s="1"/>
  <c r="D1441" i="13" s="1"/>
  <c r="G924" i="13"/>
  <c r="G1698" i="13"/>
  <c r="G490" i="13"/>
  <c r="E146" i="13"/>
  <c r="F146" i="13" s="1"/>
  <c r="D147" i="13" s="1"/>
  <c r="E1355" i="13"/>
  <c r="F1355" i="13" s="1"/>
  <c r="D1356" i="13" s="1"/>
  <c r="E1268" i="13"/>
  <c r="F1268" i="13" s="1"/>
  <c r="D1269" i="13" s="1"/>
  <c r="E1097" i="13"/>
  <c r="F1097" i="13" s="1"/>
  <c r="D1098" i="13" s="1"/>
  <c r="E1699" i="13"/>
  <c r="F1699" i="13" s="1"/>
  <c r="D1700" i="13" s="1"/>
  <c r="E491" i="13"/>
  <c r="F491" i="13" s="1"/>
  <c r="D492" i="13" s="1"/>
  <c r="E1957" i="13"/>
  <c r="F1957" i="13" s="1"/>
  <c r="D1958" i="13" s="1"/>
  <c r="E2038" i="13"/>
  <c r="F2038" i="13" s="1"/>
  <c r="F575" i="13"/>
  <c r="D576" i="13" s="1"/>
  <c r="E1611" i="13"/>
  <c r="F1611" i="13" s="1"/>
  <c r="D1612" i="13" s="1"/>
  <c r="G661" i="13"/>
  <c r="G1440" i="13" l="1"/>
  <c r="G662" i="13"/>
  <c r="G1957" i="13"/>
  <c r="G1268" i="13"/>
  <c r="G1611" i="13"/>
  <c r="G1527" i="13"/>
  <c r="G1355" i="13"/>
  <c r="G575" i="13"/>
  <c r="G1871" i="13"/>
  <c r="G233" i="13"/>
  <c r="G1183" i="13"/>
  <c r="G1097" i="13"/>
  <c r="G146" i="13"/>
  <c r="D2039" i="13"/>
  <c r="G2038" i="13"/>
  <c r="E147" i="13"/>
  <c r="F147" i="13" s="1"/>
  <c r="D148" i="13" s="1"/>
  <c r="G751" i="13"/>
  <c r="E234" i="13"/>
  <c r="F234" i="13" s="1"/>
  <c r="D235" i="13" s="1"/>
  <c r="G839" i="13"/>
  <c r="E752" i="13"/>
  <c r="F752" i="13" s="1"/>
  <c r="D753" i="13" s="1"/>
  <c r="E840" i="13"/>
  <c r="F840" i="13" s="1"/>
  <c r="D841" i="13" s="1"/>
  <c r="E1612" i="13"/>
  <c r="F1612" i="13" s="1"/>
  <c r="D1613" i="13" s="1"/>
  <c r="E1958" i="13"/>
  <c r="F1958" i="13" s="1"/>
  <c r="D1959" i="13" s="1"/>
  <c r="E1528" i="13"/>
  <c r="F1528" i="13" s="1"/>
  <c r="D1529" i="13" s="1"/>
  <c r="E1872" i="13"/>
  <c r="F1872" i="13" s="1"/>
  <c r="D1873" i="13" s="1"/>
  <c r="E1184" i="13"/>
  <c r="F1184" i="13" s="1"/>
  <c r="D1185" i="13" s="1"/>
  <c r="E1098" i="13"/>
  <c r="F1098" i="13" s="1"/>
  <c r="D1099" i="13" s="1"/>
  <c r="E1356" i="13"/>
  <c r="F1356" i="13" s="1"/>
  <c r="D1357" i="13" s="1"/>
  <c r="E1441" i="13"/>
  <c r="F1441" i="13" s="1"/>
  <c r="D1442" i="13" s="1"/>
  <c r="G319" i="13"/>
  <c r="E926" i="13"/>
  <c r="F926" i="13" s="1"/>
  <c r="D927" i="13" s="1"/>
  <c r="E663" i="13"/>
  <c r="F663" i="13" s="1"/>
  <c r="D664" i="13" s="1"/>
  <c r="E1786" i="13"/>
  <c r="F1786" i="13" s="1"/>
  <c r="D1787" i="13" s="1"/>
  <c r="E1269" i="13"/>
  <c r="F1269" i="13" s="1"/>
  <c r="D1270" i="13" s="1"/>
  <c r="G491" i="13"/>
  <c r="E320" i="13"/>
  <c r="F320" i="13" s="1"/>
  <c r="D321" i="13" s="1"/>
  <c r="E1700" i="13"/>
  <c r="F1700" i="13" s="1"/>
  <c r="D1701" i="13" s="1"/>
  <c r="G925" i="13"/>
  <c r="E406" i="13"/>
  <c r="F406" i="13" s="1"/>
  <c r="D407" i="13" s="1"/>
  <c r="E492" i="13"/>
  <c r="F492" i="13" s="1"/>
  <c r="D493" i="13" s="1"/>
  <c r="F576" i="13"/>
  <c r="D577" i="13" s="1"/>
  <c r="F577" i="13" s="1"/>
  <c r="G577" i="13" s="1"/>
  <c r="G1699" i="13"/>
  <c r="G405" i="13"/>
  <c r="G1785" i="13"/>
  <c r="G576" i="13" l="1"/>
  <c r="G406" i="13"/>
  <c r="G320" i="13"/>
  <c r="G1184" i="13"/>
  <c r="G147" i="13"/>
  <c r="G1872" i="13"/>
  <c r="G1958" i="13"/>
  <c r="G926" i="13"/>
  <c r="G1786" i="13"/>
  <c r="G1356" i="13"/>
  <c r="G840" i="13"/>
  <c r="G234" i="13"/>
  <c r="G663" i="13"/>
  <c r="G492" i="13"/>
  <c r="E1442" i="13"/>
  <c r="F1442" i="13" s="1"/>
  <c r="D1443" i="13" s="1"/>
  <c r="G1700" i="13"/>
  <c r="E1270" i="13"/>
  <c r="F1270" i="13" s="1"/>
  <c r="D1271" i="13" s="1"/>
  <c r="G1441" i="13"/>
  <c r="G1098" i="13"/>
  <c r="E1099" i="13"/>
  <c r="F1099" i="13" s="1"/>
  <c r="D1100" i="13" s="1"/>
  <c r="E1787" i="13"/>
  <c r="F1787" i="13" s="1"/>
  <c r="D1788" i="13" s="1"/>
  <c r="G1612" i="13"/>
  <c r="E841" i="13"/>
  <c r="F841" i="13" s="1"/>
  <c r="D842" i="13" s="1"/>
  <c r="E664" i="13"/>
  <c r="F664" i="13" s="1"/>
  <c r="D665" i="13" s="1"/>
  <c r="E1357" i="13"/>
  <c r="F1357" i="13" s="1"/>
  <c r="D1358" i="13" s="1"/>
  <c r="E1873" i="13"/>
  <c r="F1873" i="13" s="1"/>
  <c r="D1874" i="13" s="1"/>
  <c r="G1528" i="13"/>
  <c r="E753" i="13"/>
  <c r="F753" i="13" s="1"/>
  <c r="D754" i="13" s="1"/>
  <c r="E493" i="13"/>
  <c r="F493" i="13" s="1"/>
  <c r="D494" i="13" s="1"/>
  <c r="E1529" i="13"/>
  <c r="F1529" i="13" s="1"/>
  <c r="D1530" i="13" s="1"/>
  <c r="G752" i="13"/>
  <c r="E321" i="13"/>
  <c r="F321" i="13" s="1"/>
  <c r="D322" i="13" s="1"/>
  <c r="E148" i="13"/>
  <c r="F148" i="13" s="1"/>
  <c r="D149" i="13" s="1"/>
  <c r="E407" i="13"/>
  <c r="F407" i="13" s="1"/>
  <c r="D408" i="13" s="1"/>
  <c r="E927" i="13"/>
  <c r="F927" i="13" s="1"/>
  <c r="D928" i="13" s="1"/>
  <c r="E1959" i="13"/>
  <c r="F1959" i="13" s="1"/>
  <c r="D1960" i="13" s="1"/>
  <c r="E1701" i="13"/>
  <c r="F1701" i="13" s="1"/>
  <c r="D1702" i="13" s="1"/>
  <c r="E1613" i="13"/>
  <c r="F1613" i="13" s="1"/>
  <c r="D1614" i="13" s="1"/>
  <c r="G1269" i="13"/>
  <c r="E1185" i="13"/>
  <c r="F1185" i="13" s="1"/>
  <c r="D1186" i="13" s="1"/>
  <c r="E235" i="13"/>
  <c r="F235" i="13" s="1"/>
  <c r="D236" i="13" s="1"/>
  <c r="E2039" i="13"/>
  <c r="F2039" i="13" s="1"/>
  <c r="G493" i="13" l="1"/>
  <c r="G1357" i="13"/>
  <c r="G407" i="13"/>
  <c r="G1442" i="13"/>
  <c r="G235" i="13"/>
  <c r="G321" i="13"/>
  <c r="G1185" i="13"/>
  <c r="G1959" i="13"/>
  <c r="G1099" i="13"/>
  <c r="G1613" i="13"/>
  <c r="G1529" i="13"/>
  <c r="G841" i="13"/>
  <c r="G1270" i="13"/>
  <c r="G664" i="13"/>
  <c r="D2040" i="13"/>
  <c r="G2039" i="13"/>
  <c r="E1186" i="13"/>
  <c r="F1186" i="13" s="1"/>
  <c r="D1187" i="13" s="1"/>
  <c r="G1701" i="13"/>
  <c r="G927" i="13"/>
  <c r="E1530" i="13"/>
  <c r="F1530" i="13" s="1"/>
  <c r="D1531" i="13" s="1"/>
  <c r="G1787" i="13"/>
  <c r="E1702" i="13"/>
  <c r="F1702" i="13" s="1"/>
  <c r="D1703" i="13" s="1"/>
  <c r="E928" i="13"/>
  <c r="F928" i="13" s="1"/>
  <c r="D929" i="13" s="1"/>
  <c r="E1874" i="13"/>
  <c r="F1874" i="13" s="1"/>
  <c r="D1875" i="13" s="1"/>
  <c r="E1788" i="13"/>
  <c r="F1788" i="13" s="1"/>
  <c r="D1789" i="13" s="1"/>
  <c r="G148" i="13"/>
  <c r="E494" i="13"/>
  <c r="F494" i="13" s="1"/>
  <c r="D495" i="13" s="1"/>
  <c r="G1873" i="13"/>
  <c r="E842" i="13"/>
  <c r="F842" i="13" s="1"/>
  <c r="D843" i="13" s="1"/>
  <c r="E149" i="13"/>
  <c r="F149" i="13" s="1"/>
  <c r="D150" i="13" s="1"/>
  <c r="E322" i="13"/>
  <c r="F322" i="13" s="1"/>
  <c r="D323" i="13" s="1"/>
  <c r="E1271" i="13"/>
  <c r="F1271" i="13" s="1"/>
  <c r="D1272" i="13" s="1"/>
  <c r="E754" i="13"/>
  <c r="F754" i="13" s="1"/>
  <c r="D755" i="13" s="1"/>
  <c r="E236" i="13"/>
  <c r="F236" i="13" s="1"/>
  <c r="D237" i="13" s="1"/>
  <c r="E1358" i="13"/>
  <c r="F1358" i="13" s="1"/>
  <c r="D1359" i="13" s="1"/>
  <c r="E1614" i="13"/>
  <c r="F1614" i="13" s="1"/>
  <c r="D1615" i="13" s="1"/>
  <c r="E1960" i="13"/>
  <c r="F1960" i="13" s="1"/>
  <c r="D1961" i="13" s="1"/>
  <c r="E408" i="13"/>
  <c r="F408" i="13" s="1"/>
  <c r="D409" i="13" s="1"/>
  <c r="E1100" i="13"/>
  <c r="F1100" i="13" s="1"/>
  <c r="D1101" i="13" s="1"/>
  <c r="G753" i="13"/>
  <c r="E665" i="13"/>
  <c r="F665" i="13" s="1"/>
  <c r="D666" i="13" s="1"/>
  <c r="E1443" i="13"/>
  <c r="F1443" i="13" s="1"/>
  <c r="D1444" i="13" s="1"/>
  <c r="G1271" i="13" l="1"/>
  <c r="G149" i="13"/>
  <c r="G1186" i="13"/>
  <c r="G1530" i="13"/>
  <c r="G1358" i="13"/>
  <c r="G1702" i="13"/>
  <c r="G1960" i="13"/>
  <c r="G665" i="13"/>
  <c r="G408" i="13"/>
  <c r="G928" i="13"/>
  <c r="G1614" i="13"/>
  <c r="G754" i="13"/>
  <c r="G322" i="13"/>
  <c r="G1443" i="13"/>
  <c r="E1101" i="13"/>
  <c r="F1101" i="13" s="1"/>
  <c r="D1102" i="13" s="1"/>
  <c r="E237" i="13"/>
  <c r="F237" i="13" s="1"/>
  <c r="D238" i="13" s="1"/>
  <c r="E495" i="13"/>
  <c r="F495" i="13" s="1"/>
  <c r="D496" i="13" s="1"/>
  <c r="E1789" i="13"/>
  <c r="F1789" i="13" s="1"/>
  <c r="D1790" i="13" s="1"/>
  <c r="E1444" i="13"/>
  <c r="F1444" i="13" s="1"/>
  <c r="D1445" i="13" s="1"/>
  <c r="E755" i="13"/>
  <c r="F755" i="13" s="1"/>
  <c r="D756" i="13" s="1"/>
  <c r="E1703" i="13"/>
  <c r="F1703" i="13" s="1"/>
  <c r="D1704" i="13" s="1"/>
  <c r="E323" i="13"/>
  <c r="F323" i="13" s="1"/>
  <c r="D324" i="13" s="1"/>
  <c r="E1875" i="13"/>
  <c r="F1875" i="13" s="1"/>
  <c r="D1876" i="13" s="1"/>
  <c r="E409" i="13"/>
  <c r="F409" i="13" s="1"/>
  <c r="D410" i="13" s="1"/>
  <c r="E1272" i="13"/>
  <c r="F1272" i="13" s="1"/>
  <c r="D1273" i="13" s="1"/>
  <c r="E843" i="13"/>
  <c r="F843" i="13" s="1"/>
  <c r="D844" i="13" s="1"/>
  <c r="G1874" i="13"/>
  <c r="E666" i="13"/>
  <c r="F666" i="13" s="1"/>
  <c r="D667" i="13" s="1"/>
  <c r="E150" i="13"/>
  <c r="F150" i="13" s="1"/>
  <c r="D151" i="13" s="1"/>
  <c r="G842" i="13"/>
  <c r="E1531" i="13"/>
  <c r="F1531" i="13" s="1"/>
  <c r="D1532" i="13" s="1"/>
  <c r="E1187" i="13"/>
  <c r="F1187" i="13" s="1"/>
  <c r="D1188" i="13" s="1"/>
  <c r="E1961" i="13"/>
  <c r="F1961" i="13" s="1"/>
  <c r="D1962" i="13" s="1"/>
  <c r="E1359" i="13"/>
  <c r="F1359" i="13" s="1"/>
  <c r="D1360" i="13" s="1"/>
  <c r="G1100" i="13"/>
  <c r="E1615" i="13"/>
  <c r="F1615" i="13" s="1"/>
  <c r="D1616" i="13" s="1"/>
  <c r="G236" i="13"/>
  <c r="G494" i="13"/>
  <c r="G1788" i="13"/>
  <c r="E929" i="13"/>
  <c r="F929" i="13" s="1"/>
  <c r="D930" i="13" s="1"/>
  <c r="E2040" i="13"/>
  <c r="F2040" i="13" s="1"/>
  <c r="G666" i="13" l="1"/>
  <c r="G495" i="13"/>
  <c r="G1961" i="13"/>
  <c r="G929" i="13"/>
  <c r="G323" i="13"/>
  <c r="G1703" i="13"/>
  <c r="G1101" i="13"/>
  <c r="G150" i="13"/>
  <c r="G1531" i="13"/>
  <c r="G843" i="13"/>
  <c r="G237" i="13"/>
  <c r="D2041" i="13"/>
  <c r="G2040" i="13"/>
  <c r="E1360" i="13"/>
  <c r="F1360" i="13" s="1"/>
  <c r="D1361" i="13" s="1"/>
  <c r="E1188" i="13"/>
  <c r="F1188" i="13" s="1"/>
  <c r="D1189" i="13" s="1"/>
  <c r="E410" i="13"/>
  <c r="F410" i="13" s="1"/>
  <c r="D411" i="13" s="1"/>
  <c r="E1445" i="13"/>
  <c r="F1445" i="13" s="1"/>
  <c r="D1446" i="13" s="1"/>
  <c r="E1962" i="13"/>
  <c r="F1962" i="13" s="1"/>
  <c r="D1963" i="13" s="1"/>
  <c r="E1532" i="13"/>
  <c r="F1532" i="13" s="1"/>
  <c r="D1533" i="13" s="1"/>
  <c r="E844" i="13"/>
  <c r="F844" i="13" s="1"/>
  <c r="D845" i="13" s="1"/>
  <c r="E324" i="13"/>
  <c r="F324" i="13" s="1"/>
  <c r="D325" i="13" s="1"/>
  <c r="E1704" i="13"/>
  <c r="F1704" i="13" s="1"/>
  <c r="D1705" i="13" s="1"/>
  <c r="E238" i="13"/>
  <c r="F238" i="13" s="1"/>
  <c r="D239" i="13" s="1"/>
  <c r="G1615" i="13"/>
  <c r="E667" i="13"/>
  <c r="F667" i="13" s="1"/>
  <c r="D668" i="13" s="1"/>
  <c r="E1790" i="13"/>
  <c r="F1790" i="13" s="1"/>
  <c r="D1791" i="13" s="1"/>
  <c r="E1616" i="13"/>
  <c r="F1616" i="13" s="1"/>
  <c r="D1617" i="13" s="1"/>
  <c r="G1789" i="13"/>
  <c r="E930" i="13"/>
  <c r="F930" i="13" s="1"/>
  <c r="D931" i="13" s="1"/>
  <c r="E151" i="13"/>
  <c r="F151" i="13" s="1"/>
  <c r="D152" i="13" s="1"/>
  <c r="G1272" i="13"/>
  <c r="G1875" i="13"/>
  <c r="G755" i="13"/>
  <c r="E1273" i="13"/>
  <c r="F1273" i="13" s="1"/>
  <c r="D1274" i="13" s="1"/>
  <c r="E1876" i="13"/>
  <c r="F1876" i="13" s="1"/>
  <c r="D1877" i="13" s="1"/>
  <c r="E756" i="13"/>
  <c r="F756" i="13" s="1"/>
  <c r="D757" i="13" s="1"/>
  <c r="E496" i="13"/>
  <c r="F496" i="13" s="1"/>
  <c r="D497" i="13" s="1"/>
  <c r="E1102" i="13"/>
  <c r="F1102" i="13" s="1"/>
  <c r="D1103" i="13" s="1"/>
  <c r="G1359" i="13"/>
  <c r="G1187" i="13"/>
  <c r="G409" i="13"/>
  <c r="G1444" i="13"/>
  <c r="G410" i="13" l="1"/>
  <c r="G1445" i="13"/>
  <c r="G930" i="13"/>
  <c r="G496" i="13"/>
  <c r="G844" i="13"/>
  <c r="G1360" i="13"/>
  <c r="G1616" i="13"/>
  <c r="G1188" i="13"/>
  <c r="G756" i="13"/>
  <c r="G667" i="13"/>
  <c r="G1102" i="13"/>
  <c r="G1790" i="13"/>
  <c r="G1273" i="13"/>
  <c r="E1877" i="13"/>
  <c r="F1877" i="13" s="1"/>
  <c r="D1878" i="13" s="1"/>
  <c r="G151" i="13"/>
  <c r="E325" i="13"/>
  <c r="F325" i="13" s="1"/>
  <c r="D326" i="13" s="1"/>
  <c r="E1963" i="13"/>
  <c r="F1963" i="13" s="1"/>
  <c r="D1964" i="13" s="1"/>
  <c r="E1103" i="13"/>
  <c r="F1103" i="13" s="1"/>
  <c r="D1104" i="13" s="1"/>
  <c r="E845" i="13"/>
  <c r="F845" i="13" s="1"/>
  <c r="D846" i="13" s="1"/>
  <c r="G238" i="13"/>
  <c r="E1189" i="13"/>
  <c r="F1189" i="13" s="1"/>
  <c r="D1190" i="13" s="1"/>
  <c r="E239" i="13"/>
  <c r="F239" i="13" s="1"/>
  <c r="D240" i="13" s="1"/>
  <c r="E1446" i="13"/>
  <c r="F1446" i="13" s="1"/>
  <c r="D1447" i="13" s="1"/>
  <c r="E152" i="13"/>
  <c r="F152" i="13" s="1"/>
  <c r="D153" i="13" s="1"/>
  <c r="E1274" i="13"/>
  <c r="F1274" i="13" s="1"/>
  <c r="D1275" i="13" s="1"/>
  <c r="E1617" i="13"/>
  <c r="F1617" i="13" s="1"/>
  <c r="D1618" i="13" s="1"/>
  <c r="E668" i="13"/>
  <c r="F668" i="13" s="1"/>
  <c r="D669" i="13" s="1"/>
  <c r="G1704" i="13"/>
  <c r="G1532" i="13"/>
  <c r="E1361" i="13"/>
  <c r="F1361" i="13" s="1"/>
  <c r="D1362" i="13" s="1"/>
  <c r="E931" i="13"/>
  <c r="F931" i="13" s="1"/>
  <c r="D932" i="13" s="1"/>
  <c r="E1705" i="13"/>
  <c r="F1705" i="13" s="1"/>
  <c r="D1706" i="13" s="1"/>
  <c r="E1533" i="13"/>
  <c r="F1533" i="13" s="1"/>
  <c r="D1534" i="13" s="1"/>
  <c r="E411" i="13"/>
  <c r="F411" i="13" s="1"/>
  <c r="D412" i="13" s="1"/>
  <c r="E497" i="13"/>
  <c r="F497" i="13" s="1"/>
  <c r="D498" i="13" s="1"/>
  <c r="E757" i="13"/>
  <c r="F757" i="13" s="1"/>
  <c r="D758" i="13" s="1"/>
  <c r="G1876" i="13"/>
  <c r="E1791" i="13"/>
  <c r="F1791" i="13" s="1"/>
  <c r="D1792" i="13" s="1"/>
  <c r="G324" i="13"/>
  <c r="G1962" i="13"/>
  <c r="E2041" i="13"/>
  <c r="F2041" i="13" s="1"/>
  <c r="G1189" i="13" l="1"/>
  <c r="G757" i="13"/>
  <c r="G1533" i="13"/>
  <c r="G325" i="13"/>
  <c r="G239" i="13"/>
  <c r="G411" i="13"/>
  <c r="G668" i="13"/>
  <c r="G497" i="13"/>
  <c r="G1877" i="13"/>
  <c r="G1791" i="13"/>
  <c r="G931" i="13"/>
  <c r="G1274" i="13"/>
  <c r="G845" i="13"/>
  <c r="G1446" i="13"/>
  <c r="D2042" i="13"/>
  <c r="G2041" i="13"/>
  <c r="E498" i="13"/>
  <c r="F498" i="13" s="1"/>
  <c r="D499" i="13" s="1"/>
  <c r="G1705" i="13"/>
  <c r="G1361" i="13"/>
  <c r="G1617" i="13"/>
  <c r="G152" i="13"/>
  <c r="E1104" i="13"/>
  <c r="F1104" i="13" s="1"/>
  <c r="D1105" i="13" s="1"/>
  <c r="E153" i="13"/>
  <c r="F153" i="13" s="1"/>
  <c r="D154" i="13" s="1"/>
  <c r="E1792" i="13"/>
  <c r="F1792" i="13" s="1"/>
  <c r="D1793" i="13" s="1"/>
  <c r="E1190" i="13"/>
  <c r="F1190" i="13" s="1"/>
  <c r="D1191" i="13" s="1"/>
  <c r="G1963" i="13"/>
  <c r="E1878" i="13"/>
  <c r="F1878" i="13" s="1"/>
  <c r="D1879" i="13" s="1"/>
  <c r="E1362" i="13"/>
  <c r="F1362" i="13" s="1"/>
  <c r="D1363" i="13" s="1"/>
  <c r="E1964" i="13"/>
  <c r="F1964" i="13" s="1"/>
  <c r="D1965" i="13" s="1"/>
  <c r="E1618" i="13"/>
  <c r="F1618" i="13" s="1"/>
  <c r="D1619" i="13" s="1"/>
  <c r="E932" i="13"/>
  <c r="F932" i="13" s="1"/>
  <c r="D933" i="13" s="1"/>
  <c r="E758" i="13"/>
  <c r="F758" i="13" s="1"/>
  <c r="D759" i="13" s="1"/>
  <c r="E412" i="13"/>
  <c r="F412" i="13" s="1"/>
  <c r="D413" i="13" s="1"/>
  <c r="E1275" i="13"/>
  <c r="F1275" i="13" s="1"/>
  <c r="D1276" i="13" s="1"/>
  <c r="E1447" i="13"/>
  <c r="F1447" i="13" s="1"/>
  <c r="D1448" i="13" s="1"/>
  <c r="E1706" i="13"/>
  <c r="F1706" i="13" s="1"/>
  <c r="D1707" i="13" s="1"/>
  <c r="E846" i="13"/>
  <c r="F846" i="13" s="1"/>
  <c r="D847" i="13" s="1"/>
  <c r="E326" i="13"/>
  <c r="F326" i="13" s="1"/>
  <c r="D327" i="13" s="1"/>
  <c r="E1534" i="13"/>
  <c r="F1534" i="13" s="1"/>
  <c r="D1535" i="13" s="1"/>
  <c r="E669" i="13"/>
  <c r="F669" i="13" s="1"/>
  <c r="D670" i="13" s="1"/>
  <c r="E240" i="13"/>
  <c r="F240" i="13" s="1"/>
  <c r="D241" i="13" s="1"/>
  <c r="G1103" i="13"/>
  <c r="G1104" i="13" l="1"/>
  <c r="G326" i="13"/>
  <c r="G669" i="13"/>
  <c r="G412" i="13"/>
  <c r="G1190" i="13"/>
  <c r="G846" i="13"/>
  <c r="G1964" i="13"/>
  <c r="G240" i="13"/>
  <c r="G1706" i="13"/>
  <c r="G1275" i="13"/>
  <c r="G932" i="13"/>
  <c r="G153" i="13"/>
  <c r="G1362" i="13"/>
  <c r="G1447" i="13"/>
  <c r="G758" i="13"/>
  <c r="G1618" i="13"/>
  <c r="E1363" i="13"/>
  <c r="F1363" i="13" s="1"/>
  <c r="D1364" i="13" s="1"/>
  <c r="E1793" i="13"/>
  <c r="F1793" i="13" s="1"/>
  <c r="D1794" i="13" s="1"/>
  <c r="E499" i="13"/>
  <c r="F499" i="13" s="1"/>
  <c r="D500" i="13" s="1"/>
  <c r="E1965" i="13"/>
  <c r="F1965" i="13" s="1"/>
  <c r="D1966" i="13" s="1"/>
  <c r="E1105" i="13"/>
  <c r="F1105" i="13" s="1"/>
  <c r="D1106" i="13" s="1"/>
  <c r="G498" i="13"/>
  <c r="E759" i="13"/>
  <c r="F759" i="13" s="1"/>
  <c r="D760" i="13" s="1"/>
  <c r="E154" i="13"/>
  <c r="F154" i="13" s="1"/>
  <c r="D155" i="13" s="1"/>
  <c r="G1878" i="13"/>
  <c r="E241" i="13"/>
  <c r="F241" i="13" s="1"/>
  <c r="D242" i="13" s="1"/>
  <c r="E1535" i="13"/>
  <c r="F1535" i="13" s="1"/>
  <c r="D1536" i="13" s="1"/>
  <c r="E1619" i="13"/>
  <c r="F1619" i="13" s="1"/>
  <c r="D1620" i="13" s="1"/>
  <c r="E1879" i="13"/>
  <c r="F1879" i="13" s="1"/>
  <c r="D1880" i="13" s="1"/>
  <c r="E1707" i="13"/>
  <c r="F1707" i="13" s="1"/>
  <c r="D1708" i="13" s="1"/>
  <c r="E327" i="13"/>
  <c r="F327" i="13" s="1"/>
  <c r="D328" i="13" s="1"/>
  <c r="E1191" i="13"/>
  <c r="F1191" i="13" s="1"/>
  <c r="D1192" i="13" s="1"/>
  <c r="G1534" i="13"/>
  <c r="E1448" i="13"/>
  <c r="F1448" i="13" s="1"/>
  <c r="D1449" i="13" s="1"/>
  <c r="E1276" i="13"/>
  <c r="F1276" i="13" s="1"/>
  <c r="D1277" i="13" s="1"/>
  <c r="E670" i="13"/>
  <c r="F670" i="13" s="1"/>
  <c r="D671" i="13" s="1"/>
  <c r="E847" i="13"/>
  <c r="F847" i="13" s="1"/>
  <c r="D848" i="13" s="1"/>
  <c r="E413" i="13"/>
  <c r="F413" i="13" s="1"/>
  <c r="D414" i="13" s="1"/>
  <c r="E933" i="13"/>
  <c r="F933" i="13" s="1"/>
  <c r="D934" i="13" s="1"/>
  <c r="G1792" i="13"/>
  <c r="E2042" i="13"/>
  <c r="F2042" i="13" s="1"/>
  <c r="D2043" i="13" s="1"/>
  <c r="G1535" i="13" l="1"/>
  <c r="G154" i="13"/>
  <c r="G1965" i="13"/>
  <c r="G1793" i="13"/>
  <c r="G2042" i="13"/>
  <c r="G413" i="13"/>
  <c r="G847" i="13"/>
  <c r="G759" i="13"/>
  <c r="G1276" i="13"/>
  <c r="G1448" i="13"/>
  <c r="G1363" i="13"/>
  <c r="G327" i="13"/>
  <c r="G499" i="13"/>
  <c r="G670" i="13"/>
  <c r="G1191" i="13"/>
  <c r="G1105" i="13"/>
  <c r="G933" i="13"/>
  <c r="E1708" i="13"/>
  <c r="F1708" i="13" s="1"/>
  <c r="D1709" i="13" s="1"/>
  <c r="E500" i="13"/>
  <c r="F500" i="13" s="1"/>
  <c r="D501" i="13" s="1"/>
  <c r="G1879" i="13"/>
  <c r="E1794" i="13"/>
  <c r="F1794" i="13" s="1"/>
  <c r="D1795" i="13" s="1"/>
  <c r="E760" i="13"/>
  <c r="F760" i="13" s="1"/>
  <c r="D761" i="13" s="1"/>
  <c r="E1880" i="13"/>
  <c r="F1880" i="13" s="1"/>
  <c r="D1881" i="13" s="1"/>
  <c r="E328" i="13"/>
  <c r="F328" i="13" s="1"/>
  <c r="D329" i="13" s="1"/>
  <c r="E414" i="13"/>
  <c r="F414" i="13" s="1"/>
  <c r="D415" i="13" s="1"/>
  <c r="G1619" i="13"/>
  <c r="E1364" i="13"/>
  <c r="F1364" i="13" s="1"/>
  <c r="D1365" i="13" s="1"/>
  <c r="E934" i="13"/>
  <c r="F934" i="13" s="1"/>
  <c r="D935" i="13" s="1"/>
  <c r="E2043" i="13"/>
  <c r="F2043" i="13" s="1"/>
  <c r="D2044" i="13" s="1"/>
  <c r="E1449" i="13"/>
  <c r="F1449" i="13" s="1"/>
  <c r="D1450" i="13" s="1"/>
  <c r="E242" i="13"/>
  <c r="F242" i="13" s="1"/>
  <c r="D243" i="13" s="1"/>
  <c r="E1106" i="13"/>
  <c r="F1106" i="13" s="1"/>
  <c r="D1107" i="13" s="1"/>
  <c r="G241" i="13"/>
  <c r="E848" i="13"/>
  <c r="F848" i="13" s="1"/>
  <c r="D849" i="13" s="1"/>
  <c r="E1536" i="13"/>
  <c r="F1536" i="13" s="1"/>
  <c r="D1537" i="13" s="1"/>
  <c r="E1277" i="13"/>
  <c r="F1277" i="13" s="1"/>
  <c r="D1278" i="13" s="1"/>
  <c r="E1620" i="13"/>
  <c r="F1620" i="13" s="1"/>
  <c r="D1621" i="13" s="1"/>
  <c r="E671" i="13"/>
  <c r="F671" i="13" s="1"/>
  <c r="D672" i="13" s="1"/>
  <c r="E1192" i="13"/>
  <c r="F1192" i="13" s="1"/>
  <c r="D1193" i="13" s="1"/>
  <c r="G1707" i="13"/>
  <c r="E155" i="13"/>
  <c r="F155" i="13" s="1"/>
  <c r="D156" i="13" s="1"/>
  <c r="E1966" i="13"/>
  <c r="F1966" i="13" s="1"/>
  <c r="D1967" i="13" s="1"/>
  <c r="G1277" i="13" l="1"/>
  <c r="G934" i="13"/>
  <c r="G500" i="13"/>
  <c r="G1536" i="13"/>
  <c r="G1794" i="13"/>
  <c r="G1880" i="13"/>
  <c r="G1966" i="13"/>
  <c r="G1449" i="13"/>
  <c r="G414" i="13"/>
  <c r="G2043" i="13"/>
  <c r="G671" i="13"/>
  <c r="E1107" i="13"/>
  <c r="F1107" i="13" s="1"/>
  <c r="D1108" i="13" s="1"/>
  <c r="E243" i="13"/>
  <c r="F243" i="13" s="1"/>
  <c r="D244" i="13" s="1"/>
  <c r="E1365" i="13"/>
  <c r="F1365" i="13" s="1"/>
  <c r="D1366" i="13" s="1"/>
  <c r="G1708" i="13"/>
  <c r="E1450" i="13"/>
  <c r="F1450" i="13" s="1"/>
  <c r="D1451" i="13" s="1"/>
  <c r="E156" i="13"/>
  <c r="F156" i="13" s="1"/>
  <c r="D157" i="13" s="1"/>
  <c r="E415" i="13"/>
  <c r="F415" i="13" s="1"/>
  <c r="D416" i="13" s="1"/>
  <c r="E1795" i="13"/>
  <c r="F1795" i="13" s="1"/>
  <c r="D1796" i="13" s="1"/>
  <c r="E329" i="13"/>
  <c r="F329" i="13" s="1"/>
  <c r="D330" i="13" s="1"/>
  <c r="E672" i="13"/>
  <c r="F672" i="13" s="1"/>
  <c r="D673" i="13" s="1"/>
  <c r="G1620" i="13"/>
  <c r="E1537" i="13"/>
  <c r="F1537" i="13" s="1"/>
  <c r="D1538" i="13" s="1"/>
  <c r="G328" i="13"/>
  <c r="G760" i="13"/>
  <c r="E1709" i="13"/>
  <c r="F1709" i="13" s="1"/>
  <c r="D1710" i="13" s="1"/>
  <c r="G155" i="13"/>
  <c r="E1621" i="13"/>
  <c r="F1621" i="13" s="1"/>
  <c r="D1622" i="13" s="1"/>
  <c r="E2044" i="13"/>
  <c r="F2044" i="13" s="1"/>
  <c r="E1193" i="13"/>
  <c r="F1193" i="13" s="1"/>
  <c r="D1194" i="13" s="1"/>
  <c r="E849" i="13"/>
  <c r="F849" i="13" s="1"/>
  <c r="D850" i="13" s="1"/>
  <c r="E935" i="13"/>
  <c r="F935" i="13" s="1"/>
  <c r="D936" i="13" s="1"/>
  <c r="E501" i="13"/>
  <c r="F501" i="13" s="1"/>
  <c r="D502" i="13" s="1"/>
  <c r="E761" i="13"/>
  <c r="F761" i="13" s="1"/>
  <c r="D762" i="13" s="1"/>
  <c r="E1967" i="13"/>
  <c r="F1967" i="13" s="1"/>
  <c r="D1968" i="13" s="1"/>
  <c r="G1192" i="13"/>
  <c r="E1278" i="13"/>
  <c r="F1278" i="13" s="1"/>
  <c r="D1279" i="13" s="1"/>
  <c r="G848" i="13"/>
  <c r="G1106" i="13"/>
  <c r="G242" i="13"/>
  <c r="G1364" i="13"/>
  <c r="E1881" i="13"/>
  <c r="F1881" i="13" s="1"/>
  <c r="D1882" i="13" s="1"/>
  <c r="G1107" i="13" l="1"/>
  <c r="G849" i="13"/>
  <c r="G1193" i="13"/>
  <c r="G156" i="13"/>
  <c r="G501" i="13"/>
  <c r="G1621" i="13"/>
  <c r="G1795" i="13"/>
  <c r="G935" i="13"/>
  <c r="G1967" i="13"/>
  <c r="G1709" i="13"/>
  <c r="G1537" i="13"/>
  <c r="G243" i="13"/>
  <c r="D2045" i="13"/>
  <c r="G2044" i="13"/>
  <c r="G1881" i="13"/>
  <c r="E1279" i="13"/>
  <c r="F1279" i="13" s="1"/>
  <c r="D1280" i="13" s="1"/>
  <c r="G761" i="13"/>
  <c r="E936" i="13"/>
  <c r="F936" i="13" s="1"/>
  <c r="D937" i="13" s="1"/>
  <c r="G329" i="13"/>
  <c r="E416" i="13"/>
  <c r="F416" i="13" s="1"/>
  <c r="D417" i="13" s="1"/>
  <c r="E1451" i="13"/>
  <c r="F1451" i="13" s="1"/>
  <c r="D1452" i="13" s="1"/>
  <c r="G1365" i="13"/>
  <c r="E762" i="13"/>
  <c r="F762" i="13" s="1"/>
  <c r="D763" i="13" s="1"/>
  <c r="E157" i="13"/>
  <c r="F157" i="13" s="1"/>
  <c r="D158" i="13" s="1"/>
  <c r="E1622" i="13"/>
  <c r="F1622" i="13" s="1"/>
  <c r="D1623" i="13" s="1"/>
  <c r="E244" i="13"/>
  <c r="F244" i="13" s="1"/>
  <c r="D245" i="13" s="1"/>
  <c r="E1882" i="13"/>
  <c r="F1882" i="13" s="1"/>
  <c r="D1883" i="13" s="1"/>
  <c r="E1366" i="13"/>
  <c r="F1366" i="13" s="1"/>
  <c r="D1367" i="13" s="1"/>
  <c r="E850" i="13"/>
  <c r="F850" i="13" s="1"/>
  <c r="D851" i="13" s="1"/>
  <c r="E673" i="13"/>
  <c r="F673" i="13" s="1"/>
  <c r="D674" i="13" s="1"/>
  <c r="E330" i="13"/>
  <c r="F330" i="13" s="1"/>
  <c r="D331" i="13" s="1"/>
  <c r="E1968" i="13"/>
  <c r="F1968" i="13" s="1"/>
  <c r="D1969" i="13" s="1"/>
  <c r="E502" i="13"/>
  <c r="F502" i="13" s="1"/>
  <c r="D503" i="13" s="1"/>
  <c r="G672" i="13"/>
  <c r="E1796" i="13"/>
  <c r="F1796" i="13" s="1"/>
  <c r="D1797" i="13" s="1"/>
  <c r="E1108" i="13"/>
  <c r="F1108" i="13" s="1"/>
  <c r="D1109" i="13" s="1"/>
  <c r="E1194" i="13"/>
  <c r="F1194" i="13" s="1"/>
  <c r="D1195" i="13" s="1"/>
  <c r="E1538" i="13"/>
  <c r="F1538" i="13" s="1"/>
  <c r="D1539" i="13" s="1"/>
  <c r="E1710" i="13"/>
  <c r="F1710" i="13" s="1"/>
  <c r="D1711" i="13" s="1"/>
  <c r="G1278" i="13"/>
  <c r="G415" i="13"/>
  <c r="G1450" i="13"/>
  <c r="G1538" i="13" l="1"/>
  <c r="G1882" i="13"/>
  <c r="G1968" i="13"/>
  <c r="G502" i="13"/>
  <c r="G1194" i="13"/>
  <c r="G850" i="13"/>
  <c r="G1710" i="13"/>
  <c r="G1622" i="13"/>
  <c r="G1451" i="13"/>
  <c r="G330" i="13"/>
  <c r="G416" i="13"/>
  <c r="G1108" i="13"/>
  <c r="G673" i="13"/>
  <c r="E1367" i="13"/>
  <c r="F1367" i="13" s="1"/>
  <c r="D1368" i="13" s="1"/>
  <c r="E763" i="13"/>
  <c r="F763" i="13" s="1"/>
  <c r="D764" i="13" s="1"/>
  <c r="G936" i="13"/>
  <c r="E245" i="13"/>
  <c r="F245" i="13" s="1"/>
  <c r="D246" i="13" s="1"/>
  <c r="E158" i="13"/>
  <c r="F158" i="13" s="1"/>
  <c r="D159" i="13" s="1"/>
  <c r="E1452" i="13"/>
  <c r="F1452" i="13" s="1"/>
  <c r="D1453" i="13" s="1"/>
  <c r="G1279" i="13"/>
  <c r="E1883" i="13"/>
  <c r="F1883" i="13" s="1"/>
  <c r="D1884" i="13" s="1"/>
  <c r="G244" i="13"/>
  <c r="E1280" i="13"/>
  <c r="F1280" i="13" s="1"/>
  <c r="D1281" i="13" s="1"/>
  <c r="E1109" i="13"/>
  <c r="F1109" i="13" s="1"/>
  <c r="D1110" i="13" s="1"/>
  <c r="E1969" i="13"/>
  <c r="F1969" i="13" s="1"/>
  <c r="D1970" i="13" s="1"/>
  <c r="G157" i="13"/>
  <c r="E417" i="13"/>
  <c r="F417" i="13" s="1"/>
  <c r="D418" i="13" s="1"/>
  <c r="E674" i="13"/>
  <c r="F674" i="13" s="1"/>
  <c r="D675" i="13" s="1"/>
  <c r="E503" i="13"/>
  <c r="F503" i="13" s="1"/>
  <c r="D504" i="13" s="1"/>
  <c r="E851" i="13"/>
  <c r="F851" i="13" s="1"/>
  <c r="D852" i="13" s="1"/>
  <c r="E1623" i="13"/>
  <c r="F1623" i="13" s="1"/>
  <c r="D1624" i="13" s="1"/>
  <c r="E937" i="13"/>
  <c r="F937" i="13" s="1"/>
  <c r="D938" i="13" s="1"/>
  <c r="E1539" i="13"/>
  <c r="F1539" i="13" s="1"/>
  <c r="D1540" i="13" s="1"/>
  <c r="E1797" i="13"/>
  <c r="F1797" i="13" s="1"/>
  <c r="D1798" i="13" s="1"/>
  <c r="E331" i="13"/>
  <c r="F331" i="13" s="1"/>
  <c r="D332" i="13" s="1"/>
  <c r="E1711" i="13"/>
  <c r="F1711" i="13" s="1"/>
  <c r="D1712" i="13" s="1"/>
  <c r="E1195" i="13"/>
  <c r="F1195" i="13" s="1"/>
  <c r="D1196" i="13" s="1"/>
  <c r="G1796" i="13"/>
  <c r="G1366" i="13"/>
  <c r="G762" i="13"/>
  <c r="E2045" i="13"/>
  <c r="F2045" i="13" s="1"/>
  <c r="D2046" i="13" s="1"/>
  <c r="G1195" i="13" l="1"/>
  <c r="G851" i="13"/>
  <c r="G2045" i="13"/>
  <c r="G674" i="13"/>
  <c r="G158" i="13"/>
  <c r="G1280" i="13"/>
  <c r="G1797" i="13"/>
  <c r="G245" i="13"/>
  <c r="G937" i="13"/>
  <c r="G1109" i="13"/>
  <c r="G1452" i="13"/>
  <c r="G331" i="13"/>
  <c r="G1539" i="13"/>
  <c r="G1623" i="13"/>
  <c r="G1969" i="13"/>
  <c r="E504" i="13"/>
  <c r="F504" i="13" s="1"/>
  <c r="D505" i="13" s="1"/>
  <c r="E332" i="13"/>
  <c r="F332" i="13" s="1"/>
  <c r="D333" i="13" s="1"/>
  <c r="E418" i="13"/>
  <c r="F418" i="13" s="1"/>
  <c r="D419" i="13" s="1"/>
  <c r="G1883" i="13"/>
  <c r="E159" i="13"/>
  <c r="F159" i="13" s="1"/>
  <c r="D160" i="13" s="1"/>
  <c r="G1367" i="13"/>
  <c r="E1884" i="13"/>
  <c r="F1884" i="13" s="1"/>
  <c r="D1885" i="13" s="1"/>
  <c r="E1368" i="13"/>
  <c r="F1368" i="13" s="1"/>
  <c r="D1369" i="13" s="1"/>
  <c r="E246" i="13"/>
  <c r="F246" i="13" s="1"/>
  <c r="D247" i="13" s="1"/>
  <c r="E1540" i="13"/>
  <c r="F1540" i="13" s="1"/>
  <c r="D1541" i="13" s="1"/>
  <c r="E938" i="13"/>
  <c r="F938" i="13" s="1"/>
  <c r="D939" i="13" s="1"/>
  <c r="E675" i="13"/>
  <c r="F675" i="13" s="1"/>
  <c r="D676" i="13" s="1"/>
  <c r="E1624" i="13"/>
  <c r="F1624" i="13" s="1"/>
  <c r="D1625" i="13" s="1"/>
  <c r="E1281" i="13"/>
  <c r="F1281" i="13" s="1"/>
  <c r="D1282" i="13" s="1"/>
  <c r="G417" i="13"/>
  <c r="E1970" i="13"/>
  <c r="F1970" i="13" s="1"/>
  <c r="D1971" i="13" s="1"/>
  <c r="E1196" i="13"/>
  <c r="F1196" i="13" s="1"/>
  <c r="D1197" i="13" s="1"/>
  <c r="E1712" i="13"/>
  <c r="F1712" i="13" s="1"/>
  <c r="D1713" i="13" s="1"/>
  <c r="E852" i="13"/>
  <c r="F852" i="13" s="1"/>
  <c r="D853" i="13" s="1"/>
  <c r="E764" i="13"/>
  <c r="F764" i="13" s="1"/>
  <c r="D765" i="13" s="1"/>
  <c r="E1798" i="13"/>
  <c r="F1798" i="13" s="1"/>
  <c r="D1799" i="13" s="1"/>
  <c r="E2046" i="13"/>
  <c r="F2046" i="13" s="1"/>
  <c r="D2047" i="13" s="1"/>
  <c r="G1711" i="13"/>
  <c r="G503" i="13"/>
  <c r="E1110" i="13"/>
  <c r="F1110" i="13" s="1"/>
  <c r="D1111" i="13" s="1"/>
  <c r="E1453" i="13"/>
  <c r="F1453" i="13" s="1"/>
  <c r="D1454" i="13" s="1"/>
  <c r="G763" i="13"/>
  <c r="G1110" i="13" l="1"/>
  <c r="G332" i="13"/>
  <c r="G938" i="13"/>
  <c r="G1196" i="13"/>
  <c r="G504" i="13"/>
  <c r="G1624" i="13"/>
  <c r="G1453" i="13"/>
  <c r="G159" i="13"/>
  <c r="G1798" i="13"/>
  <c r="G1281" i="13"/>
  <c r="G246" i="13"/>
  <c r="G1884" i="13"/>
  <c r="G1712" i="13"/>
  <c r="G675" i="13"/>
  <c r="G1540" i="13"/>
  <c r="G1368" i="13"/>
  <c r="G418" i="13"/>
  <c r="E2047" i="13"/>
  <c r="F2047" i="13" s="1"/>
  <c r="D2048" i="13" s="1"/>
  <c r="E853" i="13"/>
  <c r="F853" i="13" s="1"/>
  <c r="D854" i="13" s="1"/>
  <c r="E1971" i="13"/>
  <c r="F1971" i="13" s="1"/>
  <c r="D1972" i="13" s="1"/>
  <c r="E676" i="13"/>
  <c r="F676" i="13" s="1"/>
  <c r="D677" i="13" s="1"/>
  <c r="E1541" i="13"/>
  <c r="F1541" i="13" s="1"/>
  <c r="D1542" i="13" s="1"/>
  <c r="E1369" i="13"/>
  <c r="F1369" i="13" s="1"/>
  <c r="D1370" i="13" s="1"/>
  <c r="E419" i="13"/>
  <c r="F419" i="13" s="1"/>
  <c r="D420" i="13" s="1"/>
  <c r="E1454" i="13"/>
  <c r="F1454" i="13" s="1"/>
  <c r="D1455" i="13" s="1"/>
  <c r="E1111" i="13"/>
  <c r="F1111" i="13" s="1"/>
  <c r="D1112" i="13" s="1"/>
  <c r="E765" i="13"/>
  <c r="F765" i="13" s="1"/>
  <c r="D766" i="13" s="1"/>
  <c r="E939" i="13"/>
  <c r="F939" i="13" s="1"/>
  <c r="D940" i="13" s="1"/>
  <c r="E333" i="13"/>
  <c r="F333" i="13" s="1"/>
  <c r="D334" i="13" s="1"/>
  <c r="E1713" i="13"/>
  <c r="F1713" i="13" s="1"/>
  <c r="D1714" i="13" s="1"/>
  <c r="E1799" i="13"/>
  <c r="F1799" i="13" s="1"/>
  <c r="D1800" i="13" s="1"/>
  <c r="G764" i="13"/>
  <c r="E1197" i="13"/>
  <c r="F1197" i="13" s="1"/>
  <c r="D1198" i="13" s="1"/>
  <c r="E160" i="13"/>
  <c r="F160" i="13" s="1"/>
  <c r="D161" i="13" s="1"/>
  <c r="G2046" i="13"/>
  <c r="G852" i="13"/>
  <c r="G1970" i="13"/>
  <c r="E1282" i="13"/>
  <c r="F1282" i="13" s="1"/>
  <c r="D1283" i="13" s="1"/>
  <c r="E1625" i="13"/>
  <c r="F1625" i="13" s="1"/>
  <c r="D1626" i="13" s="1"/>
  <c r="E247" i="13"/>
  <c r="F247" i="13" s="1"/>
  <c r="D248" i="13" s="1"/>
  <c r="E1885" i="13"/>
  <c r="F1885" i="13" s="1"/>
  <c r="D1886" i="13" s="1"/>
  <c r="E505" i="13"/>
  <c r="F505" i="13" s="1"/>
  <c r="D506" i="13" s="1"/>
  <c r="G765" i="13" l="1"/>
  <c r="G1625" i="13"/>
  <c r="G505" i="13"/>
  <c r="G247" i="13"/>
  <c r="G1541" i="13"/>
  <c r="G1369" i="13"/>
  <c r="G939" i="13"/>
  <c r="G1111" i="13"/>
  <c r="G676" i="13"/>
  <c r="G160" i="13"/>
  <c r="G1713" i="13"/>
  <c r="G1454" i="13"/>
  <c r="G853" i="13"/>
  <c r="G1885" i="13"/>
  <c r="G1799" i="13"/>
  <c r="G333" i="13"/>
  <c r="G419" i="13"/>
  <c r="E1972" i="13"/>
  <c r="E1973" i="13" s="1"/>
  <c r="E161" i="13"/>
  <c r="E162" i="13" s="1"/>
  <c r="E766" i="13"/>
  <c r="E767" i="13" s="1"/>
  <c r="E854" i="13"/>
  <c r="E855" i="13" s="1"/>
  <c r="E248" i="13"/>
  <c r="E249" i="13" s="1"/>
  <c r="G1197" i="13"/>
  <c r="E1370" i="13"/>
  <c r="E1371" i="13" s="1"/>
  <c r="G2047" i="13"/>
  <c r="E1198" i="13"/>
  <c r="E1199" i="13" s="1"/>
  <c r="E2048" i="13"/>
  <c r="F2048" i="13" s="1"/>
  <c r="D2049" i="13" s="1"/>
  <c r="E1886" i="13"/>
  <c r="E1887" i="13" s="1"/>
  <c r="E334" i="13"/>
  <c r="E335" i="13" s="1"/>
  <c r="E506" i="13"/>
  <c r="E507" i="13" s="1"/>
  <c r="E1626" i="13"/>
  <c r="F1626" i="13" s="1"/>
  <c r="D1627" i="13" s="1"/>
  <c r="E1714" i="13"/>
  <c r="E1715" i="13" s="1"/>
  <c r="E940" i="13"/>
  <c r="E941" i="13" s="1"/>
  <c r="E1112" i="13"/>
  <c r="E1113" i="13" s="1"/>
  <c r="E1542" i="13"/>
  <c r="E1543" i="13" s="1"/>
  <c r="E420" i="13"/>
  <c r="E421" i="13" s="1"/>
  <c r="G1282" i="13"/>
  <c r="E1800" i="13"/>
  <c r="E1801" i="13" s="1"/>
  <c r="E1283" i="13"/>
  <c r="F1283" i="13" s="1"/>
  <c r="D1284" i="13" s="1"/>
  <c r="E1455" i="13"/>
  <c r="F1455" i="13" s="1"/>
  <c r="D1456" i="13" s="1"/>
  <c r="E677" i="13"/>
  <c r="F677" i="13" s="1"/>
  <c r="D678" i="13" s="1"/>
  <c r="G1971" i="13"/>
  <c r="F1800" i="13" l="1"/>
  <c r="G1800" i="13" s="1"/>
  <c r="F940" i="13"/>
  <c r="G940" i="13" s="1"/>
  <c r="F334" i="13"/>
  <c r="G334" i="13" s="1"/>
  <c r="F1886" i="13"/>
  <c r="G1886" i="13" s="1"/>
  <c r="F1198" i="13"/>
  <c r="G1198" i="13" s="1"/>
  <c r="F1542" i="13"/>
  <c r="G1542" i="13" s="1"/>
  <c r="F248" i="13"/>
  <c r="G248" i="13" s="1"/>
  <c r="F1370" i="13"/>
  <c r="G1370" i="13" s="1"/>
  <c r="F506" i="13"/>
  <c r="G506" i="13" s="1"/>
  <c r="F161" i="13"/>
  <c r="G161" i="13" s="1"/>
  <c r="F1714" i="13"/>
  <c r="G1714" i="13" s="1"/>
  <c r="F854" i="13"/>
  <c r="G854" i="13" s="1"/>
  <c r="G677" i="13"/>
  <c r="F1112" i="13"/>
  <c r="G1112" i="13" s="1"/>
  <c r="G2048" i="13"/>
  <c r="F766" i="13"/>
  <c r="G766" i="13" s="1"/>
  <c r="F1972" i="13"/>
  <c r="G1972" i="13" s="1"/>
  <c r="G1455" i="13"/>
  <c r="G1626" i="13"/>
  <c r="E1284" i="13"/>
  <c r="E1285" i="13" s="1"/>
  <c r="E1627" i="13"/>
  <c r="F1627" i="13" s="1"/>
  <c r="D1628" i="13" s="1"/>
  <c r="F420" i="13"/>
  <c r="G420" i="13" s="1"/>
  <c r="E1456" i="13"/>
  <c r="E1457" i="13" s="1"/>
  <c r="G1283" i="13"/>
  <c r="E2049" i="13"/>
  <c r="F2049" i="13" s="1"/>
  <c r="E678" i="13"/>
  <c r="E679" i="13" s="1"/>
  <c r="G1627" i="13" l="1"/>
  <c r="D2050" i="13"/>
  <c r="E2050" i="13" s="1"/>
  <c r="F2050" i="13" s="1"/>
  <c r="G2049" i="13"/>
  <c r="F1456" i="13"/>
  <c r="G1456" i="13" s="1"/>
  <c r="F678" i="13"/>
  <c r="G678" i="13" s="1"/>
  <c r="F1284" i="13"/>
  <c r="G1284" i="13" s="1"/>
  <c r="E1628" i="13"/>
  <c r="E1629" i="13" s="1"/>
  <c r="D2051" i="13" l="1"/>
  <c r="G2050" i="13"/>
  <c r="F1628" i="13"/>
  <c r="G1628" i="13" s="1"/>
  <c r="E2051" i="13" l="1"/>
  <c r="F2051" i="13" s="1"/>
  <c r="D2052" i="13" l="1"/>
  <c r="E2052" i="13" s="1"/>
  <c r="F2052" i="13" s="1"/>
  <c r="G2051" i="13"/>
  <c r="D2053" i="13" l="1"/>
  <c r="E2053" i="13" s="1"/>
  <c r="F2053" i="13" s="1"/>
  <c r="D2054" i="13" s="1"/>
  <c r="G2052" i="13"/>
  <c r="G2053" i="13" l="1"/>
  <c r="E2054" i="13"/>
  <c r="F2054" i="13" s="1"/>
  <c r="D2055" i="13" l="1"/>
  <c r="E2055" i="13" s="1"/>
  <c r="F2055" i="13" s="1"/>
  <c r="D2056" i="13" s="1"/>
  <c r="G2054" i="13"/>
  <c r="G2055" i="13" l="1"/>
  <c r="E2056" i="13"/>
  <c r="F2056" i="13" s="1"/>
  <c r="D2057" i="13" s="1"/>
  <c r="G2056" i="13" l="1"/>
  <c r="E2057" i="13"/>
  <c r="F2057" i="13" s="1"/>
  <c r="D2058" i="13" s="1"/>
  <c r="G2057" i="13" l="1"/>
  <c r="E2058" i="13"/>
  <c r="F2058" i="13" s="1"/>
  <c r="D2059" i="13" l="1"/>
  <c r="G2058" i="13"/>
  <c r="E2059" i="13" l="1"/>
  <c r="E2060" i="13" s="1"/>
  <c r="F2059" i="13" l="1"/>
  <c r="G2059" i="13" s="1"/>
  <c r="G209" i="2" l="1"/>
  <c r="L209" i="2" l="1"/>
  <c r="E39" i="13" l="1"/>
  <c r="F39" i="20"/>
  <c r="G208" i="2" l="1"/>
  <c r="L208" i="2" l="1"/>
  <c r="E38" i="13" l="1"/>
  <c r="F38" i="20"/>
  <c r="K45" i="48" l="1"/>
  <c r="G161" i="2"/>
  <c r="D43" i="48" l="1"/>
  <c r="D47" i="48"/>
  <c r="F43" i="48"/>
  <c r="F47" i="48"/>
  <c r="C23" i="48" s="1"/>
  <c r="C22" i="48" l="1"/>
  <c r="G43" i="48" l="1"/>
  <c r="G47" i="48"/>
  <c r="C24" i="48" l="1"/>
  <c r="H43" i="48" l="1"/>
  <c r="H47" i="48"/>
  <c r="C25" i="48" l="1"/>
  <c r="I43" i="48" l="1"/>
  <c r="G159" i="2"/>
  <c r="G165" i="2" s="1"/>
  <c r="I47" i="48"/>
  <c r="L165" i="2" l="1"/>
  <c r="C26" i="48"/>
  <c r="G26" i="48" l="1"/>
  <c r="J43" i="48"/>
  <c r="K43" i="48" s="1"/>
  <c r="J47" i="48"/>
  <c r="C27" i="48" l="1"/>
  <c r="K47" i="48"/>
  <c r="C28" i="48" l="1"/>
  <c r="D22" i="48" l="1"/>
  <c r="E22" i="48" s="1"/>
  <c r="D23" i="48"/>
  <c r="E23" i="48" s="1"/>
  <c r="D24" i="48"/>
  <c r="E24" i="48" s="1"/>
  <c r="D25" i="48"/>
  <c r="E25" i="48" s="1"/>
  <c r="D26" i="48"/>
  <c r="E26" i="48" s="1"/>
  <c r="D27" i="48"/>
  <c r="E27" i="48" s="1"/>
  <c r="G171" i="2" l="1"/>
  <c r="H26" i="48"/>
  <c r="I26" i="48" s="1"/>
  <c r="L171" i="2" l="1"/>
  <c r="L172" i="2" s="1"/>
  <c r="L174" i="2" s="1"/>
  <c r="L176" i="2" s="1"/>
  <c r="G172" i="2"/>
  <c r="G174" i="2" s="1"/>
  <c r="G176" i="2" s="1"/>
  <c r="S126" i="39" l="1"/>
  <c r="Q126" i="39"/>
  <c r="R126" i="39"/>
  <c r="D112" i="39" l="1"/>
  <c r="F113" i="39" s="1"/>
  <c r="E41" i="5" l="1"/>
  <c r="I41" i="5" s="1"/>
  <c r="G107" i="2" s="1"/>
  <c r="G109" i="2" s="1"/>
  <c r="G131" i="2" s="1"/>
  <c r="G213" i="2" s="1"/>
  <c r="G206" i="2" s="1"/>
  <c r="G211" i="2" s="1"/>
  <c r="G221" i="2" s="1"/>
  <c r="G112" i="39"/>
  <c r="E43" i="5"/>
  <c r="I43" i="5" s="1"/>
  <c r="F126" i="39"/>
  <c r="D113" i="39"/>
  <c r="I44" i="5" l="1"/>
  <c r="L107" i="2" s="1"/>
  <c r="L109" i="2" s="1"/>
  <c r="L131" i="2" s="1"/>
  <c r="L213" i="2" s="1"/>
  <c r="E44" i="5"/>
  <c r="G113" i="39"/>
  <c r="G126" i="39" s="1"/>
  <c r="D126" i="39"/>
  <c r="F28" i="20" l="1"/>
  <c r="F30" i="20" s="1"/>
  <c r="F34" i="20" s="1"/>
  <c r="F36" i="20" s="1"/>
  <c r="F40" i="20" s="1"/>
  <c r="G57" i="20" s="1"/>
  <c r="E28" i="13"/>
  <c r="E30" i="13" s="1"/>
  <c r="F56" i="13" s="1"/>
  <c r="G49" i="20"/>
  <c r="F49" i="13"/>
  <c r="L206" i="2"/>
  <c r="L211" i="2" s="1"/>
  <c r="E34" i="13" l="1"/>
  <c r="E36" i="13" s="1"/>
  <c r="E40" i="13" s="1"/>
  <c r="F57" i="13" s="1"/>
  <c r="G56" i="20"/>
  <c r="L221" i="2"/>
  <c r="L13" i="2" s="1"/>
  <c r="F50" i="13"/>
  <c r="G50" i="20"/>
  <c r="G47" i="20" l="1"/>
  <c r="G51" i="20" s="1"/>
  <c r="G55" i="20" s="1"/>
  <c r="G58" i="20" s="1"/>
  <c r="F47" i="13"/>
  <c r="F51" i="13" s="1"/>
  <c r="F55" i="13" s="1"/>
  <c r="F58" i="13" s="1"/>
  <c r="L20" i="2"/>
  <c r="L34" i="2"/>
  <c r="L37" i="2"/>
  <c r="L30" i="2"/>
  <c r="L31" i="2" s="1"/>
  <c r="F70" i="13" l="1"/>
  <c r="G70" i="20"/>
  <c r="F60" i="13"/>
  <c r="F68" i="13" s="1"/>
  <c r="F69" i="13" s="1"/>
  <c r="F65" i="13"/>
  <c r="F66" i="13" s="1"/>
  <c r="G65" i="20"/>
  <c r="G66" i="20" s="1"/>
  <c r="G60" i="20"/>
  <c r="G68" i="20" s="1"/>
  <c r="G69" i="20" s="1"/>
  <c r="F71" i="13" l="1"/>
  <c r="G71" i="20"/>
  <c r="I632" i="20"/>
  <c r="I1433" i="20"/>
  <c r="I1879" i="20"/>
  <c r="I95" i="20"/>
  <c r="I988" i="20"/>
  <c r="I1968" i="20"/>
  <c r="I1969" i="20" s="1"/>
  <c r="I810" i="20"/>
  <c r="I365" i="20"/>
  <c r="I721" i="20"/>
  <c r="I1166" i="20"/>
  <c r="I899" i="20"/>
  <c r="I1700" i="20"/>
  <c r="I543" i="20"/>
  <c r="I1255" i="20"/>
  <c r="I1077" i="20"/>
  <c r="I185" i="20"/>
  <c r="I1611" i="20"/>
  <c r="I454" i="20"/>
  <c r="I1790" i="20"/>
  <c r="I275" i="20"/>
  <c r="I1344" i="20"/>
  <c r="I1522" i="20"/>
  <c r="J1995" i="13"/>
  <c r="J702" i="13"/>
  <c r="J356" i="13"/>
  <c r="J962" i="13"/>
  <c r="J97" i="13"/>
  <c r="J442" i="13"/>
  <c r="J528" i="13"/>
  <c r="J1048" i="13"/>
  <c r="J876" i="13"/>
  <c r="J790" i="13"/>
  <c r="J1908" i="13"/>
  <c r="J1736" i="13"/>
  <c r="J1822" i="13"/>
  <c r="J1392" i="13"/>
  <c r="J1478" i="13"/>
  <c r="J1134" i="13"/>
  <c r="J1306" i="13"/>
  <c r="J1220" i="13"/>
  <c r="J614" i="13"/>
  <c r="J1564" i="13"/>
  <c r="J1650" i="13"/>
  <c r="J270" i="13"/>
  <c r="J184" i="13"/>
  <c r="G386" i="20" l="1"/>
  <c r="G371" i="20"/>
  <c r="G382" i="20"/>
  <c r="G379" i="20"/>
  <c r="G401" i="20"/>
  <c r="G406" i="20"/>
  <c r="G380" i="20"/>
  <c r="G389" i="20"/>
  <c r="G384" i="20"/>
  <c r="G422" i="20"/>
  <c r="G400" i="20"/>
  <c r="G394" i="20"/>
  <c r="G425" i="20"/>
  <c r="G407" i="20"/>
  <c r="G414" i="20"/>
  <c r="G396" i="20"/>
  <c r="G373" i="20"/>
  <c r="G399" i="20"/>
  <c r="G418" i="20"/>
  <c r="G390" i="20"/>
  <c r="G411" i="20"/>
  <c r="G410" i="20"/>
  <c r="G387" i="20"/>
  <c r="G372" i="20"/>
  <c r="G421" i="20"/>
  <c r="G385" i="20"/>
  <c r="G397" i="20"/>
  <c r="G388" i="20"/>
  <c r="G395" i="20"/>
  <c r="G429" i="20"/>
  <c r="G420" i="20"/>
  <c r="G409" i="20"/>
  <c r="G426" i="20"/>
  <c r="G416" i="20"/>
  <c r="G393" i="20"/>
  <c r="G370" i="20"/>
  <c r="G427" i="20"/>
  <c r="G377" i="20"/>
  <c r="G374" i="20"/>
  <c r="G392" i="20"/>
  <c r="I366" i="20"/>
  <c r="G405" i="20"/>
  <c r="G376" i="20"/>
  <c r="G404" i="20"/>
  <c r="G408" i="20"/>
  <c r="G428" i="20"/>
  <c r="G381" i="20"/>
  <c r="G412" i="20"/>
  <c r="G413" i="20"/>
  <c r="G391" i="20"/>
  <c r="G417" i="20"/>
  <c r="G423" i="20"/>
  <c r="G419" i="20"/>
  <c r="G402" i="20"/>
  <c r="G383" i="20"/>
  <c r="G403" i="20"/>
  <c r="G398" i="20"/>
  <c r="G415" i="20"/>
  <c r="G424" i="20"/>
  <c r="G375" i="20"/>
  <c r="N357" i="20" s="1"/>
  <c r="G378" i="20"/>
  <c r="H1328" i="13"/>
  <c r="H1362" i="13"/>
  <c r="H1333" i="13"/>
  <c r="H1311" i="13"/>
  <c r="H1316" i="13"/>
  <c r="M1316" i="13" s="1"/>
  <c r="H1365" i="13"/>
  <c r="H1315" i="13"/>
  <c r="M1315" i="13" s="1"/>
  <c r="H1358" i="13"/>
  <c r="H1329" i="13"/>
  <c r="J1307" i="13"/>
  <c r="H1341" i="13"/>
  <c r="H1320" i="13"/>
  <c r="H1334" i="13"/>
  <c r="H1361" i="13"/>
  <c r="H1370" i="13"/>
  <c r="H1314" i="13"/>
  <c r="M1314" i="13" s="1"/>
  <c r="H1330" i="13"/>
  <c r="H1324" i="13"/>
  <c r="H1349" i="13"/>
  <c r="H1327" i="13"/>
  <c r="H1342" i="13"/>
  <c r="H1322" i="13"/>
  <c r="H1351" i="13"/>
  <c r="H1336" i="13"/>
  <c r="H1331" i="13"/>
  <c r="H1332" i="13"/>
  <c r="H1326" i="13"/>
  <c r="H1348" i="13"/>
  <c r="H1350" i="13"/>
  <c r="H1343" i="13"/>
  <c r="H1317" i="13"/>
  <c r="M1317" i="13" s="1"/>
  <c r="H1360" i="13"/>
  <c r="H1347" i="13"/>
  <c r="H1364" i="13"/>
  <c r="H1323" i="13"/>
  <c r="H1313" i="13"/>
  <c r="M1313" i="13" s="1"/>
  <c r="H1354" i="13"/>
  <c r="H1366" i="13"/>
  <c r="H1344" i="13"/>
  <c r="H1369" i="13"/>
  <c r="H1337" i="13"/>
  <c r="H1312" i="13"/>
  <c r="M1312" i="13" s="1"/>
  <c r="H1363" i="13"/>
  <c r="H1357" i="13"/>
  <c r="H1339" i="13"/>
  <c r="H1359" i="13"/>
  <c r="H1340" i="13"/>
  <c r="H1346" i="13"/>
  <c r="H1368" i="13"/>
  <c r="H1352" i="13"/>
  <c r="H1355" i="13"/>
  <c r="H1319" i="13"/>
  <c r="M1319" i="13" s="1"/>
  <c r="H1353" i="13"/>
  <c r="H1325" i="13"/>
  <c r="H1321" i="13"/>
  <c r="M1321" i="13" s="1"/>
  <c r="H1335" i="13"/>
  <c r="H1338" i="13"/>
  <c r="H1356" i="13"/>
  <c r="H1367" i="13"/>
  <c r="H1318" i="13"/>
  <c r="M1318" i="13" s="1"/>
  <c r="H1345" i="13"/>
  <c r="G1134" i="20"/>
  <c r="G1131" i="20"/>
  <c r="I1078" i="20"/>
  <c r="G1116" i="20"/>
  <c r="G1110" i="20"/>
  <c r="G1094" i="20"/>
  <c r="G1132" i="20"/>
  <c r="G1100" i="20"/>
  <c r="G1138" i="20"/>
  <c r="G1093" i="20"/>
  <c r="G1105" i="20"/>
  <c r="G1090" i="20"/>
  <c r="G1084" i="20"/>
  <c r="G1091" i="20"/>
  <c r="G1083" i="20"/>
  <c r="G1089" i="20"/>
  <c r="G1086" i="20"/>
  <c r="G1121" i="20"/>
  <c r="G1108" i="20"/>
  <c r="G1109" i="20"/>
  <c r="G1102" i="20"/>
  <c r="G1122" i="20"/>
  <c r="G1135" i="20"/>
  <c r="G1101" i="20"/>
  <c r="G1082" i="20"/>
  <c r="G1127" i="20"/>
  <c r="G1111" i="20"/>
  <c r="G1136" i="20"/>
  <c r="G1106" i="20"/>
  <c r="G1104" i="20"/>
  <c r="G1088" i="20"/>
  <c r="G1123" i="20"/>
  <c r="G1140" i="20"/>
  <c r="G1124" i="20"/>
  <c r="G1141" i="20"/>
  <c r="G1087" i="20"/>
  <c r="G1098" i="20"/>
  <c r="G1137" i="20"/>
  <c r="G1085" i="20"/>
  <c r="N1069" i="20" s="1"/>
  <c r="G1112" i="20"/>
  <c r="G1129" i="20"/>
  <c r="G1097" i="20"/>
  <c r="G1119" i="20"/>
  <c r="G1133" i="20"/>
  <c r="G1096" i="20"/>
  <c r="G1125" i="20"/>
  <c r="G1130" i="20"/>
  <c r="G1113" i="20"/>
  <c r="G1126" i="20"/>
  <c r="G1103" i="20"/>
  <c r="G1128" i="20"/>
  <c r="G1092" i="20"/>
  <c r="G1117" i="20"/>
  <c r="G1120" i="20"/>
  <c r="G1095" i="20"/>
  <c r="G1139" i="20"/>
  <c r="G1099" i="20"/>
  <c r="G1115" i="20"/>
  <c r="G1107" i="20"/>
  <c r="G1114" i="20"/>
  <c r="G1118" i="20"/>
  <c r="H1171" i="13"/>
  <c r="H1172" i="13"/>
  <c r="H1173" i="13"/>
  <c r="H1145" i="13"/>
  <c r="M1145" i="13" s="1"/>
  <c r="H1176" i="13"/>
  <c r="H1148" i="13"/>
  <c r="H1159" i="13"/>
  <c r="H1198" i="13"/>
  <c r="H1179" i="13"/>
  <c r="H1180" i="13"/>
  <c r="H1181" i="13"/>
  <c r="H1150" i="13"/>
  <c r="H1184" i="13"/>
  <c r="H1152" i="13"/>
  <c r="H1186" i="13"/>
  <c r="H1170" i="13"/>
  <c r="H1187" i="13"/>
  <c r="H1188" i="13"/>
  <c r="H1189" i="13"/>
  <c r="H1158" i="13"/>
  <c r="H1192" i="13"/>
  <c r="H1151" i="13"/>
  <c r="H1193" i="13"/>
  <c r="H1195" i="13"/>
  <c r="H1196" i="13"/>
  <c r="H1197" i="13"/>
  <c r="H1166" i="13"/>
  <c r="H1146" i="13"/>
  <c r="M1146" i="13" s="1"/>
  <c r="H1140" i="13"/>
  <c r="M1140" i="13" s="1"/>
  <c r="H1174" i="13"/>
  <c r="H1141" i="13"/>
  <c r="M1141" i="13" s="1"/>
  <c r="H1144" i="13"/>
  <c r="M1144" i="13" s="1"/>
  <c r="H1190" i="13"/>
  <c r="H1185" i="13"/>
  <c r="H1162" i="13"/>
  <c r="H1164" i="13"/>
  <c r="H1169" i="13"/>
  <c r="H1153" i="13"/>
  <c r="H1155" i="13"/>
  <c r="H1160" i="13"/>
  <c r="H1175" i="13"/>
  <c r="H1147" i="13"/>
  <c r="M1147" i="13" s="1"/>
  <c r="H1149" i="13"/>
  <c r="M1149" i="13" s="1"/>
  <c r="H1168" i="13"/>
  <c r="J1135" i="13"/>
  <c r="H1183" i="13"/>
  <c r="H1177" i="13"/>
  <c r="H1194" i="13"/>
  <c r="H1139" i="13"/>
  <c r="H1167" i="13"/>
  <c r="H1156" i="13"/>
  <c r="H1143" i="13"/>
  <c r="M1143" i="13" s="1"/>
  <c r="H1163" i="13"/>
  <c r="H1165" i="13"/>
  <c r="H1178" i="13"/>
  <c r="H1182" i="13"/>
  <c r="H1157" i="13"/>
  <c r="H1142" i="13"/>
  <c r="M1142" i="13" s="1"/>
  <c r="H1191" i="13"/>
  <c r="H1161" i="13"/>
  <c r="H1154" i="13"/>
  <c r="H1055" i="13"/>
  <c r="M1055" i="13" s="1"/>
  <c r="H1066" i="13"/>
  <c r="H1075" i="13"/>
  <c r="H1076" i="13"/>
  <c r="H1078" i="13"/>
  <c r="H1071" i="13"/>
  <c r="H1096" i="13"/>
  <c r="H1064" i="13"/>
  <c r="H1065" i="13"/>
  <c r="H1090" i="13"/>
  <c r="H1083" i="13"/>
  <c r="H1084" i="13"/>
  <c r="H1086" i="13"/>
  <c r="H1093" i="13"/>
  <c r="H1053" i="13"/>
  <c r="H1079" i="13"/>
  <c r="H1073" i="13"/>
  <c r="H1098" i="13"/>
  <c r="H1091" i="13"/>
  <c r="H1092" i="13"/>
  <c r="H1094" i="13"/>
  <c r="H1074" i="13"/>
  <c r="H1080" i="13"/>
  <c r="H1085" i="13"/>
  <c r="H1081" i="13"/>
  <c r="H1106" i="13"/>
  <c r="H1099" i="13"/>
  <c r="H1100" i="13"/>
  <c r="H1102" i="13"/>
  <c r="H1063" i="13"/>
  <c r="M1063" i="13" s="1"/>
  <c r="H1103" i="13"/>
  <c r="H1087" i="13"/>
  <c r="H1089" i="13"/>
  <c r="H1108" i="13"/>
  <c r="H1111" i="13"/>
  <c r="H1104" i="13"/>
  <c r="H1097" i="13"/>
  <c r="J1049" i="13"/>
  <c r="H1069" i="13"/>
  <c r="H1056" i="13"/>
  <c r="M1056" i="13" s="1"/>
  <c r="H1082" i="13"/>
  <c r="H1068" i="13"/>
  <c r="H1112" i="13"/>
  <c r="H1060" i="13"/>
  <c r="M1060" i="13" s="1"/>
  <c r="H1054" i="13"/>
  <c r="M1054" i="13" s="1"/>
  <c r="H1109" i="13"/>
  <c r="H1072" i="13"/>
  <c r="H1101" i="13"/>
  <c r="H1105" i="13"/>
  <c r="H1088" i="13"/>
  <c r="H1107" i="13"/>
  <c r="H1095" i="13"/>
  <c r="H1057" i="13"/>
  <c r="M1057" i="13" s="1"/>
  <c r="H1062" i="13"/>
  <c r="H1067" i="13"/>
  <c r="H1077" i="13"/>
  <c r="H1061" i="13"/>
  <c r="M1061" i="13" s="1"/>
  <c r="H1058" i="13"/>
  <c r="M1058" i="13" s="1"/>
  <c r="H1110" i="13"/>
  <c r="H1059" i="13"/>
  <c r="M1059" i="13" s="1"/>
  <c r="H1070" i="13"/>
  <c r="G1527" i="20"/>
  <c r="G1542" i="20"/>
  <c r="G1560" i="20"/>
  <c r="G1582" i="20"/>
  <c r="G1576" i="20"/>
  <c r="G1551" i="20"/>
  <c r="G1565" i="20"/>
  <c r="G1558" i="20"/>
  <c r="G1566" i="20"/>
  <c r="G1574" i="20"/>
  <c r="G1556" i="20"/>
  <c r="G1536" i="20"/>
  <c r="G1531" i="20"/>
  <c r="G1572" i="20"/>
  <c r="G1561" i="20"/>
  <c r="G1577" i="20"/>
  <c r="G1585" i="20"/>
  <c r="G1547" i="20"/>
  <c r="G1571" i="20"/>
  <c r="G1559" i="20"/>
  <c r="G1550" i="20"/>
  <c r="G1544" i="20"/>
  <c r="G1532" i="20"/>
  <c r="G1579" i="20"/>
  <c r="G1570" i="20"/>
  <c r="I1523" i="20"/>
  <c r="G1530" i="20"/>
  <c r="N1514" i="20" s="1"/>
  <c r="G1575" i="20"/>
  <c r="G1546" i="20"/>
  <c r="G1569" i="20"/>
  <c r="G1573" i="20"/>
  <c r="G1535" i="20"/>
  <c r="G1552" i="20"/>
  <c r="G1539" i="20"/>
  <c r="G1563" i="20"/>
  <c r="G1541" i="20"/>
  <c r="G1568" i="20"/>
  <c r="G1580" i="20"/>
  <c r="G1549" i="20"/>
  <c r="G1548" i="20"/>
  <c r="G1540" i="20"/>
  <c r="G1557" i="20"/>
  <c r="G1545" i="20"/>
  <c r="G1554" i="20"/>
  <c r="G1564" i="20"/>
  <c r="G1534" i="20"/>
  <c r="G1578" i="20"/>
  <c r="G1553" i="20"/>
  <c r="G1567" i="20"/>
  <c r="G1562" i="20"/>
  <c r="G1529" i="20"/>
  <c r="G1584" i="20"/>
  <c r="G1581" i="20"/>
  <c r="G1543" i="20"/>
  <c r="G1583" i="20"/>
  <c r="G1538" i="20"/>
  <c r="G1537" i="20"/>
  <c r="G1528" i="20"/>
  <c r="G1586" i="20"/>
  <c r="G1533" i="20"/>
  <c r="G1555" i="20"/>
  <c r="G1260" i="20"/>
  <c r="G1275" i="20"/>
  <c r="G1297" i="20"/>
  <c r="G1291" i="20"/>
  <c r="G1292" i="20"/>
  <c r="G1284" i="20"/>
  <c r="G1289" i="20"/>
  <c r="G1317" i="20"/>
  <c r="G1270" i="20"/>
  <c r="G1287" i="20"/>
  <c r="G1313" i="20"/>
  <c r="G1315" i="20"/>
  <c r="G1283" i="20"/>
  <c r="G1280" i="20"/>
  <c r="G1277" i="20"/>
  <c r="G1288" i="20"/>
  <c r="G1276" i="20"/>
  <c r="G1272" i="20"/>
  <c r="G1319" i="20"/>
  <c r="G1266" i="20"/>
  <c r="G1278" i="20"/>
  <c r="G1285" i="20"/>
  <c r="G1306" i="20"/>
  <c r="G1299" i="20"/>
  <c r="G1274" i="20"/>
  <c r="G1267" i="20"/>
  <c r="G1265" i="20"/>
  <c r="G1279" i="20"/>
  <c r="G1311" i="20"/>
  <c r="G1269" i="20"/>
  <c r="G1295" i="20"/>
  <c r="G1308" i="20"/>
  <c r="G1286" i="20"/>
  <c r="G1298" i="20"/>
  <c r="G1268" i="20"/>
  <c r="G1303" i="20"/>
  <c r="G1304" i="20"/>
  <c r="G1316" i="20"/>
  <c r="G1305" i="20"/>
  <c r="G1300" i="20"/>
  <c r="G1310" i="20"/>
  <c r="G1314" i="20"/>
  <c r="G1302" i="20"/>
  <c r="G1309" i="20"/>
  <c r="G1262" i="20"/>
  <c r="G1296" i="20"/>
  <c r="G1307" i="20"/>
  <c r="G1282" i="20"/>
  <c r="G1281" i="20"/>
  <c r="G1312" i="20"/>
  <c r="G1290" i="20"/>
  <c r="G1271" i="20"/>
  <c r="G1293" i="20"/>
  <c r="G1261" i="20"/>
  <c r="G1273" i="20"/>
  <c r="G1301" i="20"/>
  <c r="G1294" i="20"/>
  <c r="G1264" i="20"/>
  <c r="G1263" i="20"/>
  <c r="N1247" i="20" s="1"/>
  <c r="G1318" i="20"/>
  <c r="I1256" i="20"/>
  <c r="H212" i="13"/>
  <c r="H213" i="13"/>
  <c r="H214" i="13"/>
  <c r="H207" i="13"/>
  <c r="H209" i="13"/>
  <c r="H224" i="13"/>
  <c r="H223" i="13"/>
  <c r="H208" i="13"/>
  <c r="H220" i="13"/>
  <c r="H221" i="13"/>
  <c r="H243" i="13"/>
  <c r="H215" i="13"/>
  <c r="H217" i="13"/>
  <c r="H232" i="13"/>
  <c r="H194" i="13"/>
  <c r="M194" i="13" s="1"/>
  <c r="H228" i="13"/>
  <c r="H229" i="13"/>
  <c r="H206" i="13"/>
  <c r="H222" i="13"/>
  <c r="H245" i="13"/>
  <c r="H202" i="13"/>
  <c r="M202" i="13" s="1"/>
  <c r="H240" i="13"/>
  <c r="H236" i="13"/>
  <c r="H237" i="13"/>
  <c r="H244" i="13"/>
  <c r="H230" i="13"/>
  <c r="H203" i="13"/>
  <c r="H216" i="13"/>
  <c r="H200" i="13"/>
  <c r="M200" i="13" s="1"/>
  <c r="H225" i="13"/>
  <c r="H195" i="13"/>
  <c r="M195" i="13" s="1"/>
  <c r="H239" i="13"/>
  <c r="H247" i="13"/>
  <c r="H233" i="13"/>
  <c r="H190" i="13"/>
  <c r="M190" i="13" s="1"/>
  <c r="H248" i="13"/>
  <c r="H238" i="13"/>
  <c r="H204" i="13"/>
  <c r="J185" i="13"/>
  <c r="H201" i="13"/>
  <c r="H226" i="13"/>
  <c r="H234" i="13"/>
  <c r="H193" i="13"/>
  <c r="M193" i="13" s="1"/>
  <c r="H218" i="13"/>
  <c r="H235" i="13"/>
  <c r="H196" i="13"/>
  <c r="M196" i="13" s="1"/>
  <c r="H211" i="13"/>
  <c r="H246" i="13"/>
  <c r="H241" i="13"/>
  <c r="H191" i="13"/>
  <c r="M191" i="13" s="1"/>
  <c r="H210" i="13"/>
  <c r="H199" i="13"/>
  <c r="M199" i="13" s="1"/>
  <c r="H219" i="13"/>
  <c r="H189" i="13"/>
  <c r="H231" i="13"/>
  <c r="H197" i="13"/>
  <c r="M197" i="13" s="1"/>
  <c r="H192" i="13"/>
  <c r="M192" i="13" s="1"/>
  <c r="H227" i="13"/>
  <c r="H242" i="13"/>
  <c r="H198" i="13"/>
  <c r="M198" i="13" s="1"/>
  <c r="H205" i="13"/>
  <c r="H1526" i="13"/>
  <c r="H1512" i="13"/>
  <c r="H1522" i="13"/>
  <c r="H1501" i="13"/>
  <c r="H1516" i="13"/>
  <c r="H1540" i="13"/>
  <c r="H1530" i="13"/>
  <c r="H1534" i="13"/>
  <c r="H1511" i="13"/>
  <c r="H1528" i="13"/>
  <c r="H1515" i="13"/>
  <c r="H1488" i="13"/>
  <c r="M1488" i="13" s="1"/>
  <c r="H1491" i="13"/>
  <c r="M1491" i="13" s="1"/>
  <c r="H1536" i="13"/>
  <c r="H1531" i="13"/>
  <c r="H1533" i="13"/>
  <c r="H1519" i="13"/>
  <c r="H1489" i="13"/>
  <c r="M1489" i="13" s="1"/>
  <c r="H1542" i="13"/>
  <c r="H1507" i="13"/>
  <c r="H1505" i="13"/>
  <c r="H1502" i="13"/>
  <c r="H1539" i="13"/>
  <c r="H1541" i="13"/>
  <c r="H1527" i="13"/>
  <c r="H1500" i="13"/>
  <c r="H1495" i="13"/>
  <c r="H1532" i="13"/>
  <c r="H1517" i="13"/>
  <c r="H1508" i="13"/>
  <c r="H1493" i="13"/>
  <c r="M1493" i="13" s="1"/>
  <c r="H1498" i="13"/>
  <c r="H1538" i="13"/>
  <c r="H1483" i="13"/>
  <c r="H1514" i="13"/>
  <c r="H1487" i="13"/>
  <c r="M1487" i="13" s="1"/>
  <c r="H1497" i="13"/>
  <c r="H1510" i="13"/>
  <c r="H1506" i="13"/>
  <c r="H1484" i="13"/>
  <c r="M1484" i="13" s="1"/>
  <c r="H1503" i="13"/>
  <c r="H1518" i="13"/>
  <c r="H1523" i="13"/>
  <c r="H1496" i="13"/>
  <c r="H1494" i="13"/>
  <c r="H1513" i="13"/>
  <c r="H1492" i="13"/>
  <c r="H1521" i="13"/>
  <c r="H1490" i="13"/>
  <c r="M1490" i="13" s="1"/>
  <c r="H1525" i="13"/>
  <c r="H1509" i="13"/>
  <c r="H1499" i="13"/>
  <c r="H1504" i="13"/>
  <c r="H1535" i="13"/>
  <c r="H1520" i="13"/>
  <c r="H1486" i="13"/>
  <c r="M1486" i="13" s="1"/>
  <c r="H1485" i="13"/>
  <c r="M1485" i="13" s="1"/>
  <c r="H1524" i="13"/>
  <c r="H1529" i="13"/>
  <c r="H1537" i="13"/>
  <c r="J1479" i="13"/>
  <c r="H537" i="13"/>
  <c r="M537" i="13" s="1"/>
  <c r="H534" i="13"/>
  <c r="M534" i="13" s="1"/>
  <c r="H585" i="13"/>
  <c r="H556" i="13"/>
  <c r="H566" i="13"/>
  <c r="H552" i="13"/>
  <c r="H565" i="13"/>
  <c r="H546" i="13"/>
  <c r="H589" i="13"/>
  <c r="H547" i="13"/>
  <c r="H543" i="13"/>
  <c r="H564" i="13"/>
  <c r="H574" i="13"/>
  <c r="H588" i="13"/>
  <c r="H579" i="13"/>
  <c r="H573" i="13"/>
  <c r="H538" i="13"/>
  <c r="M538" i="13" s="1"/>
  <c r="H555" i="13"/>
  <c r="H559" i="13"/>
  <c r="H572" i="13"/>
  <c r="H553" i="13"/>
  <c r="H584" i="13"/>
  <c r="H561" i="13"/>
  <c r="H568" i="13"/>
  <c r="H545" i="13"/>
  <c r="H563" i="13"/>
  <c r="H567" i="13"/>
  <c r="H540" i="13"/>
  <c r="M540" i="13" s="1"/>
  <c r="H587" i="13"/>
  <c r="J529" i="13"/>
  <c r="H578" i="13"/>
  <c r="H571" i="13"/>
  <c r="H569" i="13"/>
  <c r="H554" i="13"/>
  <c r="H560" i="13"/>
  <c r="H592" i="13"/>
  <c r="H541" i="13"/>
  <c r="H581" i="13"/>
  <c r="H542" i="13"/>
  <c r="M542" i="13" s="1"/>
  <c r="H557" i="13"/>
  <c r="H583" i="13"/>
  <c r="H580" i="13"/>
  <c r="H539" i="13"/>
  <c r="M539" i="13" s="1"/>
  <c r="H535" i="13"/>
  <c r="M535" i="13" s="1"/>
  <c r="H549" i="13"/>
  <c r="H590" i="13"/>
  <c r="H548" i="13"/>
  <c r="H576" i="13"/>
  <c r="H586" i="13"/>
  <c r="H536" i="13"/>
  <c r="M536" i="13" s="1"/>
  <c r="H562" i="13"/>
  <c r="H577" i="13"/>
  <c r="H570" i="13"/>
  <c r="H544" i="13"/>
  <c r="H582" i="13"/>
  <c r="H591" i="13"/>
  <c r="H551" i="13"/>
  <c r="H575" i="13"/>
  <c r="H533" i="13"/>
  <c r="H550" i="13"/>
  <c r="H558" i="13"/>
  <c r="G1407" i="20"/>
  <c r="G1373" i="20"/>
  <c r="G1357" i="20"/>
  <c r="G1399" i="20"/>
  <c r="G1385" i="20"/>
  <c r="G1364" i="20"/>
  <c r="G1360" i="20"/>
  <c r="I1345" i="20"/>
  <c r="G1394" i="20"/>
  <c r="G1391" i="20"/>
  <c r="G1368" i="20"/>
  <c r="G1358" i="20"/>
  <c r="G1376" i="20"/>
  <c r="G1393" i="20"/>
  <c r="G1396" i="20"/>
  <c r="G1381" i="20"/>
  <c r="G1349" i="20"/>
  <c r="G1397" i="20"/>
  <c r="G1398" i="20"/>
  <c r="G1401" i="20"/>
  <c r="G1352" i="20"/>
  <c r="N1336" i="20" s="1"/>
  <c r="G1377" i="20"/>
  <c r="G1408" i="20"/>
  <c r="G1405" i="20"/>
  <c r="G1361" i="20"/>
  <c r="G1406" i="20"/>
  <c r="G1375" i="20"/>
  <c r="G1351" i="20"/>
  <c r="G1371" i="20"/>
  <c r="G1350" i="20"/>
  <c r="G1363" i="20"/>
  <c r="G1370" i="20"/>
  <c r="G1365" i="20"/>
  <c r="G1395" i="20"/>
  <c r="G1359" i="20"/>
  <c r="G1388" i="20"/>
  <c r="G1380" i="20"/>
  <c r="G1400" i="20"/>
  <c r="G1383" i="20"/>
  <c r="G1382" i="20"/>
  <c r="G1362" i="20"/>
  <c r="G1404" i="20"/>
  <c r="G1378" i="20"/>
  <c r="G1366" i="20"/>
  <c r="G1372" i="20"/>
  <c r="G1389" i="20"/>
  <c r="G1379" i="20"/>
  <c r="G1403" i="20"/>
  <c r="G1402" i="20"/>
  <c r="G1392" i="20"/>
  <c r="G1367" i="20"/>
  <c r="G1384" i="20"/>
  <c r="G1374" i="20"/>
  <c r="G1355" i="20"/>
  <c r="G1390" i="20"/>
  <c r="G1369" i="20"/>
  <c r="G1356" i="20"/>
  <c r="G1387" i="20"/>
  <c r="G1386" i="20"/>
  <c r="G1354" i="20"/>
  <c r="G1353" i="20"/>
  <c r="G578" i="20"/>
  <c r="G600" i="20"/>
  <c r="G607" i="20"/>
  <c r="G585" i="20"/>
  <c r="G602" i="20"/>
  <c r="G559" i="20"/>
  <c r="G598" i="20"/>
  <c r="G554" i="20"/>
  <c r="G572" i="20"/>
  <c r="G589" i="20"/>
  <c r="G556" i="20"/>
  <c r="G595" i="20"/>
  <c r="G588" i="20"/>
  <c r="G580" i="20"/>
  <c r="G599" i="20"/>
  <c r="G582" i="20"/>
  <c r="G590" i="20"/>
  <c r="G571" i="20"/>
  <c r="G574" i="20"/>
  <c r="G576" i="20"/>
  <c r="G581" i="20"/>
  <c r="G603" i="20"/>
  <c r="G549" i="20"/>
  <c r="G605" i="20"/>
  <c r="G564" i="20"/>
  <c r="G568" i="20"/>
  <c r="G593" i="20"/>
  <c r="G577" i="20"/>
  <c r="G551" i="20"/>
  <c r="G562" i="20"/>
  <c r="G586" i="20"/>
  <c r="G563" i="20"/>
  <c r="G583" i="20"/>
  <c r="G557" i="20"/>
  <c r="G569" i="20"/>
  <c r="I544" i="20"/>
  <c r="G601" i="20"/>
  <c r="G565" i="20"/>
  <c r="G560" i="20"/>
  <c r="G587" i="20"/>
  <c r="G606" i="20"/>
  <c r="G594" i="20"/>
  <c r="G591" i="20"/>
  <c r="G553" i="20"/>
  <c r="G575" i="20"/>
  <c r="G561" i="20"/>
  <c r="G584" i="20"/>
  <c r="G552" i="20"/>
  <c r="G566" i="20"/>
  <c r="G604" i="20"/>
  <c r="G548" i="20"/>
  <c r="G558" i="20"/>
  <c r="G596" i="20"/>
  <c r="G597" i="20"/>
  <c r="G567" i="20"/>
  <c r="G555" i="20"/>
  <c r="G573" i="20"/>
  <c r="G550" i="20"/>
  <c r="N535" i="20" s="1"/>
  <c r="G570" i="20"/>
  <c r="G579" i="20"/>
  <c r="G592" i="20"/>
  <c r="G1028" i="20"/>
  <c r="G1036" i="20"/>
  <c r="G1045" i="20"/>
  <c r="G1007" i="20"/>
  <c r="G998" i="20"/>
  <c r="G994" i="20"/>
  <c r="G1012" i="20"/>
  <c r="G1029" i="20"/>
  <c r="G1037" i="20"/>
  <c r="G1009" i="20"/>
  <c r="G1006" i="20"/>
  <c r="G1014" i="20"/>
  <c r="G1019" i="20"/>
  <c r="G1052" i="20"/>
  <c r="G1038" i="20"/>
  <c r="G1046" i="20"/>
  <c r="G1000" i="20"/>
  <c r="G1003" i="20"/>
  <c r="G1015" i="20"/>
  <c r="G1022" i="20"/>
  <c r="G1013" i="20"/>
  <c r="G1025" i="20"/>
  <c r="G1033" i="20"/>
  <c r="G1041" i="20"/>
  <c r="G1049" i="20"/>
  <c r="G999" i="20"/>
  <c r="G1023" i="20"/>
  <c r="G1016" i="20"/>
  <c r="G993" i="20"/>
  <c r="G997" i="20"/>
  <c r="N980" i="20" s="1"/>
  <c r="G1031" i="20"/>
  <c r="I989" i="20"/>
  <c r="G1039" i="20"/>
  <c r="G1035" i="20"/>
  <c r="G1004" i="20"/>
  <c r="G1050" i="20"/>
  <c r="G996" i="20"/>
  <c r="G1043" i="20"/>
  <c r="G1011" i="20"/>
  <c r="G1008" i="20"/>
  <c r="G1034" i="20"/>
  <c r="G1010" i="20"/>
  <c r="G1002" i="20"/>
  <c r="G1030" i="20"/>
  <c r="G1005" i="20"/>
  <c r="G1017" i="20"/>
  <c r="G1042" i="20"/>
  <c r="G1048" i="20"/>
  <c r="G1051" i="20"/>
  <c r="G1024" i="20"/>
  <c r="G995" i="20"/>
  <c r="G1032" i="20"/>
  <c r="G1027" i="20"/>
  <c r="G1044" i="20"/>
  <c r="G1001" i="20"/>
  <c r="G1020" i="20"/>
  <c r="G1018" i="20"/>
  <c r="G1040" i="20"/>
  <c r="G1047" i="20"/>
  <c r="G1021" i="20"/>
  <c r="G1026" i="20"/>
  <c r="H316" i="13"/>
  <c r="H285" i="13"/>
  <c r="M285" i="13" s="1"/>
  <c r="H294" i="13"/>
  <c r="H303" i="13"/>
  <c r="H321" i="13"/>
  <c r="H278" i="13"/>
  <c r="M278" i="13" s="1"/>
  <c r="H315" i="13"/>
  <c r="H291" i="13"/>
  <c r="H324" i="13"/>
  <c r="H293" i="13"/>
  <c r="H302" i="13"/>
  <c r="H311" i="13"/>
  <c r="H329" i="13"/>
  <c r="H307" i="13"/>
  <c r="H299" i="13"/>
  <c r="H298" i="13"/>
  <c r="H276" i="13"/>
  <c r="M276" i="13" s="1"/>
  <c r="H309" i="13"/>
  <c r="H325" i="13"/>
  <c r="H327" i="13"/>
  <c r="H296" i="13"/>
  <c r="H290" i="13"/>
  <c r="H312" i="13"/>
  <c r="H284" i="13"/>
  <c r="M284" i="13" s="1"/>
  <c r="H292" i="13"/>
  <c r="H334" i="13"/>
  <c r="H289" i="13"/>
  <c r="H323" i="13"/>
  <c r="H304" i="13"/>
  <c r="H317" i="13"/>
  <c r="H301" i="13"/>
  <c r="H318" i="13"/>
  <c r="H330" i="13"/>
  <c r="H279" i="13"/>
  <c r="M279" i="13" s="1"/>
  <c r="H333" i="13"/>
  <c r="H297" i="13"/>
  <c r="H331" i="13"/>
  <c r="H283" i="13"/>
  <c r="M283" i="13" s="1"/>
  <c r="H281" i="13"/>
  <c r="M281" i="13" s="1"/>
  <c r="H305" i="13"/>
  <c r="H319" i="13"/>
  <c r="H308" i="13"/>
  <c r="H286" i="13"/>
  <c r="H313" i="13"/>
  <c r="H288" i="13"/>
  <c r="H332" i="13"/>
  <c r="J271" i="13"/>
  <c r="H310" i="13"/>
  <c r="H277" i="13"/>
  <c r="M277" i="13" s="1"/>
  <c r="H282" i="13"/>
  <c r="M282" i="13" s="1"/>
  <c r="H300" i="13"/>
  <c r="H306" i="13"/>
  <c r="H280" i="13"/>
  <c r="M280" i="13" s="1"/>
  <c r="H320" i="13"/>
  <c r="H314" i="13"/>
  <c r="H275" i="13"/>
  <c r="H287" i="13"/>
  <c r="M287" i="13" s="1"/>
  <c r="H295" i="13"/>
  <c r="H322" i="13"/>
  <c r="H328" i="13"/>
  <c r="H326" i="13"/>
  <c r="H1456" i="13"/>
  <c r="H1400" i="13"/>
  <c r="H1399" i="13"/>
  <c r="M1399" i="13" s="1"/>
  <c r="H1413" i="13"/>
  <c r="H1415" i="13"/>
  <c r="H1417" i="13"/>
  <c r="H1397" i="13"/>
  <c r="H1430" i="13"/>
  <c r="H1410" i="13"/>
  <c r="H1402" i="13"/>
  <c r="M1402" i="13" s="1"/>
  <c r="H1412" i="13"/>
  <c r="H1421" i="13"/>
  <c r="H1423" i="13"/>
  <c r="H1440" i="13"/>
  <c r="H1424" i="13"/>
  <c r="H1452" i="13"/>
  <c r="H1418" i="13"/>
  <c r="H1411" i="13"/>
  <c r="H1420" i="13"/>
  <c r="H1429" i="13"/>
  <c r="H1431" i="13"/>
  <c r="H1414" i="13"/>
  <c r="H1432" i="13"/>
  <c r="H1454" i="13"/>
  <c r="H1426" i="13"/>
  <c r="H1419" i="13"/>
  <c r="H1428" i="13"/>
  <c r="H1437" i="13"/>
  <c r="H1439" i="13"/>
  <c r="J1393" i="13"/>
  <c r="H1445" i="13"/>
  <c r="H1433" i="13"/>
  <c r="H1427" i="13"/>
  <c r="H1444" i="13"/>
  <c r="H1422" i="13"/>
  <c r="H1435" i="13"/>
  <c r="H1453" i="13"/>
  <c r="H1441" i="13"/>
  <c r="H1447" i="13"/>
  <c r="H1405" i="13"/>
  <c r="M1405" i="13" s="1"/>
  <c r="H1407" i="13"/>
  <c r="M1407" i="13" s="1"/>
  <c r="H1443" i="13"/>
  <c r="H1434" i="13"/>
  <c r="H1436" i="13"/>
  <c r="H1455" i="13"/>
  <c r="H1398" i="13"/>
  <c r="H1449" i="13"/>
  <c r="H1409" i="13"/>
  <c r="H1451" i="13"/>
  <c r="H1425" i="13"/>
  <c r="H1406" i="13"/>
  <c r="H1446" i="13"/>
  <c r="H1403" i="13"/>
  <c r="M1403" i="13" s="1"/>
  <c r="H1408" i="13"/>
  <c r="H1404" i="13"/>
  <c r="M1404" i="13" s="1"/>
  <c r="H1416" i="13"/>
  <c r="H1438" i="13"/>
  <c r="H1401" i="13"/>
  <c r="M1401" i="13" s="1"/>
  <c r="H1448" i="13"/>
  <c r="H1442" i="13"/>
  <c r="H1450" i="13"/>
  <c r="H494" i="13"/>
  <c r="H479" i="13"/>
  <c r="H480" i="13"/>
  <c r="H481" i="13"/>
  <c r="H483" i="13"/>
  <c r="H477" i="13"/>
  <c r="H449" i="13"/>
  <c r="M449" i="13" s="1"/>
  <c r="H456" i="13"/>
  <c r="M456" i="13" s="1"/>
  <c r="H502" i="13"/>
  <c r="H487" i="13"/>
  <c r="H488" i="13"/>
  <c r="H489" i="13"/>
  <c r="H491" i="13"/>
  <c r="H482" i="13"/>
  <c r="H476" i="13"/>
  <c r="H455" i="13"/>
  <c r="M455" i="13" s="1"/>
  <c r="H495" i="13"/>
  <c r="H496" i="13"/>
  <c r="H497" i="13"/>
  <c r="H498" i="13"/>
  <c r="H448" i="13"/>
  <c r="M448" i="13" s="1"/>
  <c r="H503" i="13"/>
  <c r="H490" i="13"/>
  <c r="H484" i="13"/>
  <c r="H504" i="13"/>
  <c r="H505" i="13"/>
  <c r="H506" i="13"/>
  <c r="H454" i="13"/>
  <c r="M454" i="13" s="1"/>
  <c r="H462" i="13"/>
  <c r="H499" i="13"/>
  <c r="H447" i="13"/>
  <c r="J443" i="13"/>
  <c r="H450" i="13"/>
  <c r="M450" i="13" s="1"/>
  <c r="H451" i="13"/>
  <c r="M451" i="13" s="1"/>
  <c r="H470" i="13"/>
  <c r="H485" i="13"/>
  <c r="H457" i="13"/>
  <c r="M457" i="13" s="1"/>
  <c r="H459" i="13"/>
  <c r="M459" i="13" s="1"/>
  <c r="H478" i="13"/>
  <c r="H500" i="13"/>
  <c r="H463" i="13"/>
  <c r="H465" i="13"/>
  <c r="H493" i="13"/>
  <c r="H469" i="13"/>
  <c r="H492" i="13"/>
  <c r="H471" i="13"/>
  <c r="H472" i="13"/>
  <c r="H452" i="13"/>
  <c r="M452" i="13" s="1"/>
  <c r="H474" i="13"/>
  <c r="H453" i="13"/>
  <c r="M453" i="13" s="1"/>
  <c r="H460" i="13"/>
  <c r="H475" i="13"/>
  <c r="H464" i="13"/>
  <c r="H461" i="13"/>
  <c r="H466" i="13"/>
  <c r="H486" i="13"/>
  <c r="H458" i="13"/>
  <c r="H501" i="13"/>
  <c r="H473" i="13"/>
  <c r="H468" i="13"/>
  <c r="H467" i="13"/>
  <c r="G313" i="20"/>
  <c r="G321" i="20"/>
  <c r="G330" i="20"/>
  <c r="G339" i="20"/>
  <c r="G288" i="20"/>
  <c r="G290" i="20"/>
  <c r="G308" i="20"/>
  <c r="G310" i="20"/>
  <c r="G314" i="20"/>
  <c r="G322" i="20"/>
  <c r="G331" i="20"/>
  <c r="G291" i="20"/>
  <c r="G296" i="20"/>
  <c r="G329" i="20"/>
  <c r="G292" i="20"/>
  <c r="G328" i="20"/>
  <c r="G316" i="20"/>
  <c r="G324" i="20"/>
  <c r="G335" i="20"/>
  <c r="G311" i="20"/>
  <c r="G326" i="20"/>
  <c r="G300" i="20"/>
  <c r="G298" i="20"/>
  <c r="G304" i="20"/>
  <c r="G293" i="20"/>
  <c r="G319" i="20"/>
  <c r="G302" i="20"/>
  <c r="G309" i="20"/>
  <c r="G303" i="20"/>
  <c r="G332" i="20"/>
  <c r="G282" i="20"/>
  <c r="G317" i="20"/>
  <c r="G299" i="20"/>
  <c r="G318" i="20"/>
  <c r="G320" i="20"/>
  <c r="I276" i="20"/>
  <c r="G285" i="20"/>
  <c r="N267" i="20" s="1"/>
  <c r="G323" i="20"/>
  <c r="G334" i="20"/>
  <c r="G327" i="20"/>
  <c r="G301" i="20"/>
  <c r="G283" i="20"/>
  <c r="G336" i="20"/>
  <c r="G286" i="20"/>
  <c r="G284" i="20"/>
  <c r="G337" i="20"/>
  <c r="G289" i="20"/>
  <c r="G294" i="20"/>
  <c r="G315" i="20"/>
  <c r="G295" i="20"/>
  <c r="G280" i="20"/>
  <c r="G325" i="20"/>
  <c r="G338" i="20"/>
  <c r="G306" i="20"/>
  <c r="G333" i="20"/>
  <c r="G312" i="20"/>
  <c r="G281" i="20"/>
  <c r="G287" i="20"/>
  <c r="G307" i="20"/>
  <c r="G297" i="20"/>
  <c r="G305" i="20"/>
  <c r="G1722" i="20"/>
  <c r="G1746" i="20"/>
  <c r="G1736" i="20"/>
  <c r="G1720" i="20"/>
  <c r="G1755" i="20"/>
  <c r="G1731" i="20"/>
  <c r="G1712" i="20"/>
  <c r="G1758" i="20"/>
  <c r="G1728" i="20"/>
  <c r="G1744" i="20"/>
  <c r="I1701" i="20"/>
  <c r="G1724" i="20"/>
  <c r="G1730" i="20"/>
  <c r="G1708" i="20"/>
  <c r="N1692" i="20" s="1"/>
  <c r="G1721" i="20"/>
  <c r="G1719" i="20"/>
  <c r="G1745" i="20"/>
  <c r="G1737" i="20"/>
  <c r="G1752" i="20"/>
  <c r="G1738" i="20"/>
  <c r="G1716" i="20"/>
  <c r="G1739" i="20"/>
  <c r="G1740" i="20"/>
  <c r="G1729" i="20"/>
  <c r="G1710" i="20"/>
  <c r="G1725" i="20"/>
  <c r="G1748" i="20"/>
  <c r="G1713" i="20"/>
  <c r="G1764" i="20"/>
  <c r="G1706" i="20"/>
  <c r="G1735" i="20"/>
  <c r="G1707" i="20"/>
  <c r="G1705" i="20"/>
  <c r="G1757" i="20"/>
  <c r="G1759" i="20"/>
  <c r="G1732" i="20"/>
  <c r="G1747" i="20"/>
  <c r="G1754" i="20"/>
  <c r="G1711" i="20"/>
  <c r="G1741" i="20"/>
  <c r="G1715" i="20"/>
  <c r="G1734" i="20"/>
  <c r="G1749" i="20"/>
  <c r="G1717" i="20"/>
  <c r="G1756" i="20"/>
  <c r="G1709" i="20"/>
  <c r="G1760" i="20"/>
  <c r="G1726" i="20"/>
  <c r="G1727" i="20"/>
  <c r="G1718" i="20"/>
  <c r="G1723" i="20"/>
  <c r="G1753" i="20"/>
  <c r="G1743" i="20"/>
  <c r="G1742" i="20"/>
  <c r="G1750" i="20"/>
  <c r="G1714" i="20"/>
  <c r="G1751" i="20"/>
  <c r="G1761" i="20"/>
  <c r="G1763" i="20"/>
  <c r="G1762" i="20"/>
  <c r="G1733" i="20"/>
  <c r="G130" i="20"/>
  <c r="G117" i="20"/>
  <c r="G112" i="20"/>
  <c r="G123" i="20"/>
  <c r="G146" i="20"/>
  <c r="G131" i="20"/>
  <c r="G111" i="20"/>
  <c r="G127" i="20"/>
  <c r="G115" i="20"/>
  <c r="G155" i="20"/>
  <c r="G104" i="20"/>
  <c r="G126" i="20"/>
  <c r="G132" i="20"/>
  <c r="G154" i="20"/>
  <c r="G122" i="20"/>
  <c r="G101" i="20"/>
  <c r="G156" i="20"/>
  <c r="I96" i="20"/>
  <c r="G124" i="20"/>
  <c r="G110" i="20"/>
  <c r="G107" i="20"/>
  <c r="G157" i="20"/>
  <c r="G105" i="20"/>
  <c r="G137" i="20"/>
  <c r="G151" i="20"/>
  <c r="G118" i="20"/>
  <c r="G120" i="20"/>
  <c r="G149" i="20"/>
  <c r="G145" i="20"/>
  <c r="G136" i="20"/>
  <c r="G139" i="20"/>
  <c r="G106" i="20"/>
  <c r="G100" i="20"/>
  <c r="G138" i="20"/>
  <c r="G153" i="20"/>
  <c r="G121" i="20"/>
  <c r="G133" i="20"/>
  <c r="G129" i="20"/>
  <c r="G113" i="20"/>
  <c r="G150" i="20"/>
  <c r="G116" i="20"/>
  <c r="G109" i="20"/>
  <c r="N87" i="20" s="1"/>
  <c r="G114" i="20"/>
  <c r="G141" i="20"/>
  <c r="G125" i="20"/>
  <c r="G143" i="20"/>
  <c r="G134" i="20"/>
  <c r="G159" i="20"/>
  <c r="G148" i="20"/>
  <c r="G128" i="20"/>
  <c r="G144" i="20"/>
  <c r="G142" i="20"/>
  <c r="G135" i="20"/>
  <c r="G102" i="20"/>
  <c r="G152" i="20"/>
  <c r="G140" i="20"/>
  <c r="G158" i="20"/>
  <c r="G108" i="20"/>
  <c r="G103" i="20"/>
  <c r="G119" i="20"/>
  <c r="H1232" i="13"/>
  <c r="M1232" i="13" s="1"/>
  <c r="H1239" i="13"/>
  <c r="H1240" i="13"/>
  <c r="H1242" i="13"/>
  <c r="H1284" i="13"/>
  <c r="H1277" i="13"/>
  <c r="H1241" i="13"/>
  <c r="H1229" i="13"/>
  <c r="M1229" i="13" s="1"/>
  <c r="H1238" i="13"/>
  <c r="H1247" i="13"/>
  <c r="H1248" i="13"/>
  <c r="H1250" i="13"/>
  <c r="H1267" i="13"/>
  <c r="H1244" i="13"/>
  <c r="H1268" i="13"/>
  <c r="H1237" i="13"/>
  <c r="H1246" i="13"/>
  <c r="H1255" i="13"/>
  <c r="H1256" i="13"/>
  <c r="H1258" i="13"/>
  <c r="H1225" i="13"/>
  <c r="H1275" i="13"/>
  <c r="H1243" i="13"/>
  <c r="H1245" i="13"/>
  <c r="H1254" i="13"/>
  <c r="H1263" i="13"/>
  <c r="H1264" i="13"/>
  <c r="H1266" i="13"/>
  <c r="H1249" i="13"/>
  <c r="H1235" i="13"/>
  <c r="M1235" i="13" s="1"/>
  <c r="H1257" i="13"/>
  <c r="H1261" i="13"/>
  <c r="H1279" i="13"/>
  <c r="H1282" i="13"/>
  <c r="H1281" i="13"/>
  <c r="H1276" i="13"/>
  <c r="H1269" i="13"/>
  <c r="H1233" i="13"/>
  <c r="M1233" i="13" s="1"/>
  <c r="J1221" i="13"/>
  <c r="H1283" i="13"/>
  <c r="H1226" i="13"/>
  <c r="M1226" i="13" s="1"/>
  <c r="H1230" i="13"/>
  <c r="M1230" i="13" s="1"/>
  <c r="H1236" i="13"/>
  <c r="H1280" i="13"/>
  <c r="H1234" i="13"/>
  <c r="H1262" i="13"/>
  <c r="H1272" i="13"/>
  <c r="H1260" i="13"/>
  <c r="H1252" i="13"/>
  <c r="H1270" i="13"/>
  <c r="H1231" i="13"/>
  <c r="M1231" i="13" s="1"/>
  <c r="H1265" i="13"/>
  <c r="H1278" i="13"/>
  <c r="H1251" i="13"/>
  <c r="H1227" i="13"/>
  <c r="M1227" i="13" s="1"/>
  <c r="H1228" i="13"/>
  <c r="M1228" i="13" s="1"/>
  <c r="H1273" i="13"/>
  <c r="H1253" i="13"/>
  <c r="H1271" i="13"/>
  <c r="H1274" i="13"/>
  <c r="H1259" i="13"/>
  <c r="H731" i="13"/>
  <c r="H732" i="13"/>
  <c r="H725" i="13"/>
  <c r="H734" i="13"/>
  <c r="H714" i="13"/>
  <c r="M714" i="13" s="1"/>
  <c r="H738" i="13"/>
  <c r="H745" i="13"/>
  <c r="H753" i="13"/>
  <c r="H739" i="13"/>
  <c r="H740" i="13"/>
  <c r="H733" i="13"/>
  <c r="H742" i="13"/>
  <c r="H720" i="13"/>
  <c r="H762" i="13"/>
  <c r="H727" i="13"/>
  <c r="H735" i="13"/>
  <c r="H747" i="13"/>
  <c r="H748" i="13"/>
  <c r="H741" i="13"/>
  <c r="H750" i="13"/>
  <c r="H728" i="13"/>
  <c r="H710" i="13"/>
  <c r="M710" i="13" s="1"/>
  <c r="H746" i="13"/>
  <c r="H755" i="13"/>
  <c r="H756" i="13"/>
  <c r="H749" i="13"/>
  <c r="H758" i="13"/>
  <c r="H761" i="13"/>
  <c r="H721" i="13"/>
  <c r="H716" i="13"/>
  <c r="M716" i="13" s="1"/>
  <c r="H765" i="13"/>
  <c r="H736" i="13"/>
  <c r="H743" i="13"/>
  <c r="J703" i="13"/>
  <c r="H766" i="13"/>
  <c r="H744" i="13"/>
  <c r="H763" i="13"/>
  <c r="H723" i="13"/>
  <c r="H717" i="13"/>
  <c r="M717" i="13" s="1"/>
  <c r="H760" i="13"/>
  <c r="H722" i="13"/>
  <c r="H764" i="13"/>
  <c r="H757" i="13"/>
  <c r="H707" i="13"/>
  <c r="H729" i="13"/>
  <c r="H715" i="13"/>
  <c r="M715" i="13" s="1"/>
  <c r="H752" i="13"/>
  <c r="H711" i="13"/>
  <c r="M711" i="13" s="1"/>
  <c r="H737" i="13"/>
  <c r="H708" i="13"/>
  <c r="M708" i="13" s="1"/>
  <c r="H759" i="13"/>
  <c r="H724" i="13"/>
  <c r="H719" i="13"/>
  <c r="M719" i="13" s="1"/>
  <c r="H754" i="13"/>
  <c r="H751" i="13"/>
  <c r="H713" i="13"/>
  <c r="M713" i="13" s="1"/>
  <c r="H730" i="13"/>
  <c r="H712" i="13"/>
  <c r="M712" i="13" s="1"/>
  <c r="H709" i="13"/>
  <c r="M709" i="13" s="1"/>
  <c r="H718" i="13"/>
  <c r="H726" i="13"/>
  <c r="H1865" i="13"/>
  <c r="H1866" i="13"/>
  <c r="H1867" i="13"/>
  <c r="H1852" i="13"/>
  <c r="H1868" i="13"/>
  <c r="H1855" i="13"/>
  <c r="H1848" i="13"/>
  <c r="H1873" i="13"/>
  <c r="H1874" i="13"/>
  <c r="H1875" i="13"/>
  <c r="H1883" i="13"/>
  <c r="H1833" i="13"/>
  <c r="M1833" i="13" s="1"/>
  <c r="H1877" i="13"/>
  <c r="H1861" i="13"/>
  <c r="H1870" i="13"/>
  <c r="H1871" i="13"/>
  <c r="H1880" i="13"/>
  <c r="H1836" i="13"/>
  <c r="M1836" i="13" s="1"/>
  <c r="H1885" i="13"/>
  <c r="H1869" i="13"/>
  <c r="H1864" i="13"/>
  <c r="H1886" i="13"/>
  <c r="H1879" i="13"/>
  <c r="J1823" i="13"/>
  <c r="H1829" i="13"/>
  <c r="M1829" i="13" s="1"/>
  <c r="H1832" i="13"/>
  <c r="M1832" i="13" s="1"/>
  <c r="H1828" i="13"/>
  <c r="M1828" i="13" s="1"/>
  <c r="H1831" i="13"/>
  <c r="M1831" i="13" s="1"/>
  <c r="H1878" i="13"/>
  <c r="H1834" i="13"/>
  <c r="M1834" i="13" s="1"/>
  <c r="H1862" i="13"/>
  <c r="H1872" i="13"/>
  <c r="H1876" i="13"/>
  <c r="H1835" i="13"/>
  <c r="H1841" i="13"/>
  <c r="H1843" i="13"/>
  <c r="H1838" i="13"/>
  <c r="H1839" i="13"/>
  <c r="H1849" i="13"/>
  <c r="H1851" i="13"/>
  <c r="H1846" i="13"/>
  <c r="H1860" i="13"/>
  <c r="H1857" i="13"/>
  <c r="H1859" i="13"/>
  <c r="H1854" i="13"/>
  <c r="H1884" i="13"/>
  <c r="H1863" i="13"/>
  <c r="H1856" i="13"/>
  <c r="H1881" i="13"/>
  <c r="H1842" i="13"/>
  <c r="H1853" i="13"/>
  <c r="H1850" i="13"/>
  <c r="H1837" i="13"/>
  <c r="H1858" i="13"/>
  <c r="H1840" i="13"/>
  <c r="H1882" i="13"/>
  <c r="H1827" i="13"/>
  <c r="H1830" i="13"/>
  <c r="M1830" i="13" s="1"/>
  <c r="H1844" i="13"/>
  <c r="H1845" i="13"/>
  <c r="H1847" i="13"/>
  <c r="G207" i="20"/>
  <c r="G215" i="20"/>
  <c r="G231" i="20"/>
  <c r="G230" i="20"/>
  <c r="G213" i="20"/>
  <c r="G222" i="20"/>
  <c r="G237" i="20"/>
  <c r="G192" i="20"/>
  <c r="G234" i="20"/>
  <c r="G229" i="20"/>
  <c r="G243" i="20"/>
  <c r="G206" i="20"/>
  <c r="G211" i="20"/>
  <c r="G225" i="20"/>
  <c r="G209" i="20"/>
  <c r="I186" i="20"/>
  <c r="G227" i="20"/>
  <c r="G218" i="20"/>
  <c r="G203" i="20"/>
  <c r="G248" i="20"/>
  <c r="G236" i="20"/>
  <c r="G223" i="20"/>
  <c r="G201" i="20"/>
  <c r="G204" i="20"/>
  <c r="G219" i="20"/>
  <c r="G232" i="20"/>
  <c r="G235" i="20"/>
  <c r="G245" i="20"/>
  <c r="G210" i="20"/>
  <c r="G193" i="20"/>
  <c r="G208" i="20"/>
  <c r="G197" i="20"/>
  <c r="G239" i="20"/>
  <c r="G212" i="20"/>
  <c r="G221" i="20"/>
  <c r="G240" i="20"/>
  <c r="G226" i="20"/>
  <c r="G194" i="20"/>
  <c r="G200" i="20"/>
  <c r="G214" i="20"/>
  <c r="G205" i="20"/>
  <c r="G247" i="20"/>
  <c r="G224" i="20"/>
  <c r="G242" i="20"/>
  <c r="G238" i="20"/>
  <c r="G190" i="20"/>
  <c r="G217" i="20"/>
  <c r="G191" i="20"/>
  <c r="G249" i="20"/>
  <c r="G241" i="20"/>
  <c r="G195" i="20"/>
  <c r="G198" i="20"/>
  <c r="G199" i="20"/>
  <c r="G228" i="20"/>
  <c r="G244" i="20"/>
  <c r="G216" i="20"/>
  <c r="G196" i="20"/>
  <c r="N177" i="20" s="1"/>
  <c r="G202" i="20"/>
  <c r="G246" i="20"/>
  <c r="G220" i="20"/>
  <c r="G233" i="20"/>
  <c r="H2018" i="13"/>
  <c r="H2019" i="13"/>
  <c r="H2020" i="13"/>
  <c r="H2029" i="13"/>
  <c r="H2022" i="13"/>
  <c r="H2045" i="13"/>
  <c r="H2031" i="13"/>
  <c r="H2026" i="13"/>
  <c r="H2027" i="13"/>
  <c r="H2028" i="13"/>
  <c r="H2037" i="13"/>
  <c r="H2051" i="13"/>
  <c r="H2007" i="13"/>
  <c r="H2023" i="13"/>
  <c r="H2030" i="13"/>
  <c r="H2032" i="13"/>
  <c r="H2033" i="13"/>
  <c r="H2034" i="13"/>
  <c r="H2036" i="13"/>
  <c r="J1996" i="13"/>
  <c r="H2017" i="13"/>
  <c r="H2053" i="13"/>
  <c r="H2038" i="13"/>
  <c r="H2040" i="13"/>
  <c r="H2041" i="13"/>
  <c r="H2042" i="13"/>
  <c r="H2044" i="13"/>
  <c r="H2047" i="13"/>
  <c r="H2043" i="13"/>
  <c r="H2039" i="13"/>
  <c r="H2046" i="13"/>
  <c r="H2049" i="13"/>
  <c r="H2052" i="13"/>
  <c r="H2003" i="13"/>
  <c r="H2056" i="13"/>
  <c r="H2058" i="13"/>
  <c r="H2055" i="13"/>
  <c r="H2024" i="13"/>
  <c r="H2001" i="13"/>
  <c r="M2001" i="13" s="1"/>
  <c r="H2012" i="13"/>
  <c r="H2014" i="13"/>
  <c r="H2025" i="13"/>
  <c r="H2048" i="13"/>
  <c r="H2050" i="13"/>
  <c r="H2008" i="13"/>
  <c r="H2002" i="13"/>
  <c r="H2006" i="13"/>
  <c r="M2006" i="13" s="1"/>
  <c r="H2005" i="13"/>
  <c r="H2057" i="13"/>
  <c r="H2035" i="13"/>
  <c r="H2010" i="13"/>
  <c r="H2054" i="13"/>
  <c r="H2011" i="13"/>
  <c r="H2016" i="13"/>
  <c r="H2015" i="13"/>
  <c r="H2009" i="13"/>
  <c r="H2000" i="13"/>
  <c r="H2004" i="13"/>
  <c r="H2059" i="13"/>
  <c r="H2013" i="13"/>
  <c r="H2021" i="13"/>
  <c r="H1684" i="13"/>
  <c r="H1670" i="13"/>
  <c r="H1675" i="13"/>
  <c r="H1703" i="13"/>
  <c r="H1712" i="13"/>
  <c r="H1697" i="13"/>
  <c r="H1709" i="13"/>
  <c r="H1691" i="13"/>
  <c r="H1692" i="13"/>
  <c r="H1678" i="13"/>
  <c r="H1710" i="13"/>
  <c r="H1711" i="13"/>
  <c r="H1657" i="13"/>
  <c r="M1657" i="13" s="1"/>
  <c r="H1655" i="13"/>
  <c r="H1685" i="13"/>
  <c r="H1698" i="13"/>
  <c r="H1708" i="13"/>
  <c r="H1694" i="13"/>
  <c r="H1701" i="13"/>
  <c r="H1667" i="13"/>
  <c r="H1673" i="13"/>
  <c r="H1682" i="13"/>
  <c r="H1668" i="13"/>
  <c r="H1713" i="13"/>
  <c r="H1693" i="13"/>
  <c r="H1671" i="13"/>
  <c r="H1658" i="13"/>
  <c r="H1680" i="13"/>
  <c r="H1674" i="13"/>
  <c r="H1672" i="13"/>
  <c r="H1689" i="13"/>
  <c r="H1700" i="13"/>
  <c r="H1660" i="13"/>
  <c r="H1662" i="13"/>
  <c r="H1714" i="13"/>
  <c r="H1702" i="13"/>
  <c r="H1679" i="13"/>
  <c r="H1707" i="13"/>
  <c r="H1677" i="13"/>
  <c r="H1664" i="13"/>
  <c r="H1687" i="13"/>
  <c r="H1706" i="13"/>
  <c r="H1705" i="13"/>
  <c r="H1663" i="13"/>
  <c r="H1695" i="13"/>
  <c r="H1666" i="13"/>
  <c r="H1661" i="13"/>
  <c r="H1686" i="13"/>
  <c r="H1656" i="13"/>
  <c r="M1656" i="13" s="1"/>
  <c r="H1659" i="13"/>
  <c r="H1683" i="13"/>
  <c r="H1690" i="13"/>
  <c r="H1669" i="13"/>
  <c r="H1699" i="13"/>
  <c r="H1665" i="13"/>
  <c r="H1681" i="13"/>
  <c r="J1651" i="13"/>
  <c r="H1704" i="13"/>
  <c r="H1676" i="13"/>
  <c r="H1688" i="13"/>
  <c r="H1696" i="13"/>
  <c r="H122" i="13"/>
  <c r="H115" i="13"/>
  <c r="M115" i="13" s="1"/>
  <c r="H107" i="13"/>
  <c r="M107" i="13" s="1"/>
  <c r="H102" i="13"/>
  <c r="H106" i="13"/>
  <c r="M106" i="13" s="1"/>
  <c r="H119" i="13"/>
  <c r="H153" i="13"/>
  <c r="H113" i="13"/>
  <c r="M113" i="13" s="1"/>
  <c r="H155" i="13"/>
  <c r="H110" i="13"/>
  <c r="M110" i="13" s="1"/>
  <c r="H108" i="13"/>
  <c r="M108" i="13" s="1"/>
  <c r="H109" i="13"/>
  <c r="M109" i="13" s="1"/>
  <c r="H104" i="13"/>
  <c r="M104" i="13" s="1"/>
  <c r="H136" i="13"/>
  <c r="H125" i="13"/>
  <c r="H121" i="13"/>
  <c r="H105" i="13"/>
  <c r="M105" i="13" s="1"/>
  <c r="H116" i="13"/>
  <c r="M116" i="13" s="1"/>
  <c r="H118" i="13"/>
  <c r="M118" i="13" s="1"/>
  <c r="H129" i="13"/>
  <c r="H117" i="13"/>
  <c r="H152" i="13"/>
  <c r="H141" i="13"/>
  <c r="H146" i="13"/>
  <c r="H123" i="13"/>
  <c r="H124" i="13"/>
  <c r="H126" i="13"/>
  <c r="H145" i="13"/>
  <c r="H135" i="13"/>
  <c r="H138" i="13"/>
  <c r="H157" i="13"/>
  <c r="H131" i="13"/>
  <c r="H134" i="13"/>
  <c r="H151" i="13"/>
  <c r="H159" i="13"/>
  <c r="H114" i="13"/>
  <c r="M114" i="13" s="1"/>
  <c r="H161" i="13"/>
  <c r="H139" i="13"/>
  <c r="H142" i="13"/>
  <c r="J98" i="13"/>
  <c r="H128" i="13"/>
  <c r="H147" i="13"/>
  <c r="H150" i="13"/>
  <c r="H144" i="13"/>
  <c r="H111" i="13"/>
  <c r="M111" i="13" s="1"/>
  <c r="H158" i="13"/>
  <c r="H160" i="13"/>
  <c r="H132" i="13"/>
  <c r="H127" i="13"/>
  <c r="H154" i="13"/>
  <c r="H149" i="13"/>
  <c r="H103" i="13"/>
  <c r="M103" i="13" s="1"/>
  <c r="H143" i="13"/>
  <c r="H120" i="13"/>
  <c r="H156" i="13"/>
  <c r="H130" i="13"/>
  <c r="H140" i="13"/>
  <c r="H137" i="13"/>
  <c r="H148" i="13"/>
  <c r="H112" i="13"/>
  <c r="M112" i="13" s="1"/>
  <c r="H133" i="13"/>
  <c r="G1809" i="20"/>
  <c r="G1828" i="20"/>
  <c r="G1797" i="20"/>
  <c r="G1842" i="20"/>
  <c r="G1798" i="20"/>
  <c r="G1840" i="20"/>
  <c r="G1810" i="20"/>
  <c r="G1844" i="20"/>
  <c r="G1811" i="20"/>
  <c r="G1838" i="20"/>
  <c r="G1843" i="20"/>
  <c r="G1837" i="20"/>
  <c r="G1827" i="20"/>
  <c r="G1836" i="20"/>
  <c r="G1807" i="20"/>
  <c r="G1805" i="20"/>
  <c r="G1803" i="20"/>
  <c r="G1820" i="20"/>
  <c r="G1822" i="20"/>
  <c r="G1845" i="20"/>
  <c r="G1852" i="20"/>
  <c r="G1839" i="20"/>
  <c r="G1853" i="20"/>
  <c r="G1801" i="20"/>
  <c r="G1813" i="20"/>
  <c r="G1829" i="20"/>
  <c r="G1819" i="20"/>
  <c r="G1823" i="20"/>
  <c r="G1849" i="20"/>
  <c r="G1806" i="20"/>
  <c r="G1814" i="20"/>
  <c r="G1812" i="20"/>
  <c r="G1846" i="20"/>
  <c r="G1799" i="20"/>
  <c r="G1802" i="20"/>
  <c r="I1791" i="20"/>
  <c r="G1815" i="20"/>
  <c r="G1847" i="20"/>
  <c r="G1834" i="20"/>
  <c r="G1808" i="20"/>
  <c r="G1825" i="20"/>
  <c r="G1824" i="20"/>
  <c r="G1832" i="20"/>
  <c r="G1818" i="20"/>
  <c r="G1816" i="20"/>
  <c r="G1851" i="20"/>
  <c r="G1833" i="20"/>
  <c r="G1854" i="20"/>
  <c r="G1830" i="20"/>
  <c r="G1826" i="20"/>
  <c r="G1831" i="20"/>
  <c r="G1796" i="20"/>
  <c r="G1841" i="20"/>
  <c r="G1804" i="20"/>
  <c r="G1835" i="20"/>
  <c r="G1848" i="20"/>
  <c r="G1821" i="20"/>
  <c r="G1795" i="20"/>
  <c r="G1817" i="20"/>
  <c r="G1850" i="20"/>
  <c r="G1800" i="20"/>
  <c r="G922" i="20"/>
  <c r="G923" i="20"/>
  <c r="G939" i="20"/>
  <c r="G951" i="20"/>
  <c r="I900" i="20"/>
  <c r="G917" i="20"/>
  <c r="G921" i="20"/>
  <c r="G941" i="20"/>
  <c r="G909" i="20"/>
  <c r="N891" i="20" s="1"/>
  <c r="G932" i="20"/>
  <c r="G915" i="20"/>
  <c r="G918" i="20"/>
  <c r="G946" i="20"/>
  <c r="G930" i="20"/>
  <c r="G927" i="20"/>
  <c r="G958" i="20"/>
  <c r="G933" i="20"/>
  <c r="G949" i="20"/>
  <c r="G957" i="20"/>
  <c r="G960" i="20"/>
  <c r="G959" i="20"/>
  <c r="G952" i="20"/>
  <c r="G955" i="20"/>
  <c r="G950" i="20"/>
  <c r="G961" i="20"/>
  <c r="G911" i="20"/>
  <c r="G914" i="20"/>
  <c r="G920" i="20"/>
  <c r="G956" i="20"/>
  <c r="G925" i="20"/>
  <c r="G947" i="20"/>
  <c r="G945" i="20"/>
  <c r="G908" i="20"/>
  <c r="G905" i="20"/>
  <c r="G926" i="20"/>
  <c r="G906" i="20"/>
  <c r="G910" i="20"/>
  <c r="G916" i="20"/>
  <c r="G954" i="20"/>
  <c r="G935" i="20"/>
  <c r="G953" i="20"/>
  <c r="G942" i="20"/>
  <c r="G919" i="20"/>
  <c r="G928" i="20"/>
  <c r="G962" i="20"/>
  <c r="G937" i="20"/>
  <c r="G907" i="20"/>
  <c r="G912" i="20"/>
  <c r="G963" i="20"/>
  <c r="G948" i="20"/>
  <c r="G931" i="20"/>
  <c r="G940" i="20"/>
  <c r="G943" i="20"/>
  <c r="G934" i="20"/>
  <c r="G904" i="20"/>
  <c r="G929" i="20"/>
  <c r="G944" i="20"/>
  <c r="G938" i="20"/>
  <c r="G913" i="20"/>
  <c r="G936" i="20"/>
  <c r="G924" i="20"/>
  <c r="G1907" i="20"/>
  <c r="G1935" i="20"/>
  <c r="G1922" i="20"/>
  <c r="G2016" i="20"/>
  <c r="G1917" i="20"/>
  <c r="G2029" i="20"/>
  <c r="G2003" i="20"/>
  <c r="G1931" i="20"/>
  <c r="G1979" i="20"/>
  <c r="G2005" i="20"/>
  <c r="G2030" i="20"/>
  <c r="G1940" i="20"/>
  <c r="G2010" i="20"/>
  <c r="G1994" i="20"/>
  <c r="G1928" i="20"/>
  <c r="I1880" i="20"/>
  <c r="G1886" i="20"/>
  <c r="N1871" i="20" s="1"/>
  <c r="G1908" i="20"/>
  <c r="G1939" i="20"/>
  <c r="G1997" i="20"/>
  <c r="G2013" i="20"/>
  <c r="G1894" i="20"/>
  <c r="G1983" i="20"/>
  <c r="G1893" i="20"/>
  <c r="G1906" i="20"/>
  <c r="G2002" i="20"/>
  <c r="G1924" i="20"/>
  <c r="G1912" i="20"/>
  <c r="G1937" i="20"/>
  <c r="G1938" i="20"/>
  <c r="G1934" i="20"/>
  <c r="G2000" i="20"/>
  <c r="G1976" i="20"/>
  <c r="G2017" i="20"/>
  <c r="G1888" i="20"/>
  <c r="G2009" i="20"/>
  <c r="G1890" i="20"/>
  <c r="G1995" i="20"/>
  <c r="G2028" i="20"/>
  <c r="G1911" i="20"/>
  <c r="G1916" i="20"/>
  <c r="G1989" i="20"/>
  <c r="G1900" i="20"/>
  <c r="G2020" i="20"/>
  <c r="G1987" i="20"/>
  <c r="G1932" i="20"/>
  <c r="G1904" i="20"/>
  <c r="G1884" i="20"/>
  <c r="G1974" i="20"/>
  <c r="G1913" i="20"/>
  <c r="G1973" i="20"/>
  <c r="G2004" i="20"/>
  <c r="G1986" i="20"/>
  <c r="G1998" i="20"/>
  <c r="G2019" i="20"/>
  <c r="G2008" i="20"/>
  <c r="G1889" i="20"/>
  <c r="G1899" i="20"/>
  <c r="G2014" i="20"/>
  <c r="G1991" i="20"/>
  <c r="G1925" i="20"/>
  <c r="G1897" i="20"/>
  <c r="G1891" i="20"/>
  <c r="G1988" i="20"/>
  <c r="G2006" i="20"/>
  <c r="G2022" i="20"/>
  <c r="G1984" i="20"/>
  <c r="G1909" i="20"/>
  <c r="G1898" i="20"/>
  <c r="G1914" i="20"/>
  <c r="G1990" i="20"/>
  <c r="G1896" i="20"/>
  <c r="G1941" i="20"/>
  <c r="G1981" i="20"/>
  <c r="G1996" i="20"/>
  <c r="G1910" i="20"/>
  <c r="G1921" i="20"/>
  <c r="G1915" i="20"/>
  <c r="G1902" i="20"/>
  <c r="G2007" i="20"/>
  <c r="G1887" i="20"/>
  <c r="G1923" i="20"/>
  <c r="G2015" i="20"/>
  <c r="G2024" i="20"/>
  <c r="G1918" i="20"/>
  <c r="G1929" i="20"/>
  <c r="G2001" i="20"/>
  <c r="G1892" i="20"/>
  <c r="G2011" i="20"/>
  <c r="G2031" i="20"/>
  <c r="G2025" i="20"/>
  <c r="G2027" i="20"/>
  <c r="G2023" i="20"/>
  <c r="G1978" i="20"/>
  <c r="G1885" i="20"/>
  <c r="G1992" i="20"/>
  <c r="G1977" i="20"/>
  <c r="N1960" i="20" s="1"/>
  <c r="G1936" i="20"/>
  <c r="G1999" i="20"/>
  <c r="G1942" i="20"/>
  <c r="G1903" i="20"/>
  <c r="G1901" i="20"/>
  <c r="G1920" i="20"/>
  <c r="G1927" i="20"/>
  <c r="G1982" i="20"/>
  <c r="G1933" i="20"/>
  <c r="G1930" i="20"/>
  <c r="G1926" i="20"/>
  <c r="G2021" i="20"/>
  <c r="G2018" i="20"/>
  <c r="G2012" i="20"/>
  <c r="G1919" i="20"/>
  <c r="G1980" i="20"/>
  <c r="G1943" i="20"/>
  <c r="G2032" i="20"/>
  <c r="G1993" i="20"/>
  <c r="G1975" i="20"/>
  <c r="G1905" i="20"/>
  <c r="G1985" i="20"/>
  <c r="G2026" i="20"/>
  <c r="G1895" i="20"/>
  <c r="H1590" i="13"/>
  <c r="H1589" i="13"/>
  <c r="H1598" i="13"/>
  <c r="H1612" i="13"/>
  <c r="H1597" i="13"/>
  <c r="H1606" i="13"/>
  <c r="H1619" i="13"/>
  <c r="H1628" i="13"/>
  <c r="H1613" i="13"/>
  <c r="H1622" i="13"/>
  <c r="H1583" i="13"/>
  <c r="H1614" i="13"/>
  <c r="H1574" i="13"/>
  <c r="M1574" i="13" s="1"/>
  <c r="H1625" i="13"/>
  <c r="H1610" i="13"/>
  <c r="H1581" i="13"/>
  <c r="H1611" i="13"/>
  <c r="H1591" i="13"/>
  <c r="H1569" i="13"/>
  <c r="H1578" i="13"/>
  <c r="H1586" i="13"/>
  <c r="H1575" i="13"/>
  <c r="M1575" i="13" s="1"/>
  <c r="H1602" i="13"/>
  <c r="H1627" i="13"/>
  <c r="H1599" i="13"/>
  <c r="H1585" i="13"/>
  <c r="H1587" i="13"/>
  <c r="H1607" i="13"/>
  <c r="H1594" i="13"/>
  <c r="H1618" i="13"/>
  <c r="H1576" i="13"/>
  <c r="M1576" i="13" s="1"/>
  <c r="H1605" i="13"/>
  <c r="H1593" i="13"/>
  <c r="H1595" i="13"/>
  <c r="H1626" i="13"/>
  <c r="H1615" i="13"/>
  <c r="H1579" i="13"/>
  <c r="M1579" i="13" s="1"/>
  <c r="H1582" i="13"/>
  <c r="H1608" i="13"/>
  <c r="H1609" i="13"/>
  <c r="H1621" i="13"/>
  <c r="H1620" i="13"/>
  <c r="H1616" i="13"/>
  <c r="H1577" i="13"/>
  <c r="M1577" i="13" s="1"/>
  <c r="H1624" i="13"/>
  <c r="H1570" i="13"/>
  <c r="M1570" i="13" s="1"/>
  <c r="H1592" i="13"/>
  <c r="H1573" i="13"/>
  <c r="M1573" i="13" s="1"/>
  <c r="H1603" i="13"/>
  <c r="H1572" i="13"/>
  <c r="M1572" i="13" s="1"/>
  <c r="H1584" i="13"/>
  <c r="H1623" i="13"/>
  <c r="H1596" i="13"/>
  <c r="H1580" i="13"/>
  <c r="H1617" i="13"/>
  <c r="H1600" i="13"/>
  <c r="H1604" i="13"/>
  <c r="J1565" i="13"/>
  <c r="H1571" i="13"/>
  <c r="M1571" i="13" s="1"/>
  <c r="H1601" i="13"/>
  <c r="H1588" i="13"/>
  <c r="H1747" i="13"/>
  <c r="H1781" i="13"/>
  <c r="H1758" i="13"/>
  <c r="H1760" i="13"/>
  <c r="H1783" i="13"/>
  <c r="H1769" i="13"/>
  <c r="H1745" i="13"/>
  <c r="M1745" i="13" s="1"/>
  <c r="H1772" i="13"/>
  <c r="H1789" i="13"/>
  <c r="H1766" i="13"/>
  <c r="H1768" i="13"/>
  <c r="H1757" i="13"/>
  <c r="H1792" i="13"/>
  <c r="H1762" i="13"/>
  <c r="H1771" i="13"/>
  <c r="H1780" i="13"/>
  <c r="H1797" i="13"/>
  <c r="H1774" i="13"/>
  <c r="H1776" i="13"/>
  <c r="H1770" i="13"/>
  <c r="H1773" i="13"/>
  <c r="H1759" i="13"/>
  <c r="H1779" i="13"/>
  <c r="H1788" i="13"/>
  <c r="J1737" i="13"/>
  <c r="H1782" i="13"/>
  <c r="H1784" i="13"/>
  <c r="H1785" i="13"/>
  <c r="H1741" i="13"/>
  <c r="H1777" i="13"/>
  <c r="H1787" i="13"/>
  <c r="H1790" i="13"/>
  <c r="H1793" i="13"/>
  <c r="H1778" i="13"/>
  <c r="H1791" i="13"/>
  <c r="H1795" i="13"/>
  <c r="H1799" i="13"/>
  <c r="H1755" i="13"/>
  <c r="H1746" i="13"/>
  <c r="M1746" i="13" s="1"/>
  <c r="H1750" i="13"/>
  <c r="H1748" i="13"/>
  <c r="M1748" i="13" s="1"/>
  <c r="H1763" i="13"/>
  <c r="H1753" i="13"/>
  <c r="H1744" i="13"/>
  <c r="M1744" i="13" s="1"/>
  <c r="H1751" i="13"/>
  <c r="H1761" i="13"/>
  <c r="H1775" i="13"/>
  <c r="H1796" i="13"/>
  <c r="H1754" i="13"/>
  <c r="H1786" i="13"/>
  <c r="H1798" i="13"/>
  <c r="H1749" i="13"/>
  <c r="H1743" i="13"/>
  <c r="M1743" i="13" s="1"/>
  <c r="H1756" i="13"/>
  <c r="H1800" i="13"/>
  <c r="H1767" i="13"/>
  <c r="H1742" i="13"/>
  <c r="M1742" i="13" s="1"/>
  <c r="H1752" i="13"/>
  <c r="H1794" i="13"/>
  <c r="H1765" i="13"/>
  <c r="H1764" i="13"/>
  <c r="H1020" i="13"/>
  <c r="H1014" i="13"/>
  <c r="H1001" i="13"/>
  <c r="H980" i="13"/>
  <c r="H982" i="13"/>
  <c r="H1018" i="13"/>
  <c r="H1006" i="13"/>
  <c r="H989" i="13"/>
  <c r="H984" i="13"/>
  <c r="H1016" i="13"/>
  <c r="H1002" i="13"/>
  <c r="H975" i="13"/>
  <c r="H1022" i="13"/>
  <c r="H1012" i="13"/>
  <c r="H1019" i="13"/>
  <c r="J963" i="13"/>
  <c r="H998" i="13"/>
  <c r="H1003" i="13"/>
  <c r="H999" i="13"/>
  <c r="H978" i="13"/>
  <c r="H968" i="13"/>
  <c r="M968" i="13" s="1"/>
  <c r="H1023" i="13"/>
  <c r="H992" i="13"/>
  <c r="H1021" i="13"/>
  <c r="H969" i="13"/>
  <c r="M969" i="13" s="1"/>
  <c r="H985" i="13"/>
  <c r="H972" i="13"/>
  <c r="H971" i="13"/>
  <c r="M971" i="13" s="1"/>
  <c r="H983" i="13"/>
  <c r="H1026" i="13"/>
  <c r="H1024" i="13"/>
  <c r="H974" i="13"/>
  <c r="H1007" i="13"/>
  <c r="H988" i="13"/>
  <c r="H976" i="13"/>
  <c r="H973" i="13"/>
  <c r="H981" i="13"/>
  <c r="H997" i="13"/>
  <c r="H1005" i="13"/>
  <c r="H1000" i="13"/>
  <c r="H995" i="13"/>
  <c r="H986" i="13"/>
  <c r="H979" i="13"/>
  <c r="H1025" i="13"/>
  <c r="H1008" i="13"/>
  <c r="H991" i="13"/>
  <c r="H1015" i="13"/>
  <c r="H994" i="13"/>
  <c r="H1009" i="13"/>
  <c r="H987" i="13"/>
  <c r="H1004" i="13"/>
  <c r="H1010" i="13"/>
  <c r="H996" i="13"/>
  <c r="H1013" i="13"/>
  <c r="H1011" i="13"/>
  <c r="H990" i="13"/>
  <c r="H1017" i="13"/>
  <c r="H977" i="13"/>
  <c r="H993" i="13"/>
  <c r="H967" i="13"/>
  <c r="H970" i="13"/>
  <c r="M970" i="13" s="1"/>
  <c r="G485" i="20"/>
  <c r="G493" i="20"/>
  <c r="G501" i="20"/>
  <c r="G518" i="20"/>
  <c r="G466" i="20"/>
  <c r="G478" i="20"/>
  <c r="G506" i="20"/>
  <c r="G487" i="20"/>
  <c r="G495" i="20"/>
  <c r="G503" i="20"/>
  <c r="G510" i="20"/>
  <c r="G459" i="20"/>
  <c r="G461" i="20"/>
  <c r="G512" i="20"/>
  <c r="G480" i="20"/>
  <c r="G488" i="20"/>
  <c r="G504" i="20"/>
  <c r="G460" i="20"/>
  <c r="G513" i="20"/>
  <c r="G490" i="20"/>
  <c r="G483" i="20"/>
  <c r="G473" i="20"/>
  <c r="G481" i="20"/>
  <c r="G489" i="20"/>
  <c r="G497" i="20"/>
  <c r="G496" i="20"/>
  <c r="G472" i="20"/>
  <c r="G505" i="20"/>
  <c r="G499" i="20"/>
  <c r="G511" i="20"/>
  <c r="G465" i="20"/>
  <c r="G474" i="20"/>
  <c r="G476" i="20"/>
  <c r="G514" i="20"/>
  <c r="I455" i="20"/>
  <c r="G502" i="20"/>
  <c r="G475" i="20"/>
  <c r="G507" i="20"/>
  <c r="G462" i="20"/>
  <c r="G463" i="20"/>
  <c r="G515" i="20"/>
  <c r="G470" i="20"/>
  <c r="G482" i="20"/>
  <c r="G509" i="20"/>
  <c r="G484" i="20"/>
  <c r="G500" i="20"/>
  <c r="G464" i="20"/>
  <c r="N446" i="20" s="1"/>
  <c r="G467" i="20"/>
  <c r="G491" i="20"/>
  <c r="G468" i="20"/>
  <c r="G479" i="20"/>
  <c r="G486" i="20"/>
  <c r="G477" i="20"/>
  <c r="G492" i="20"/>
  <c r="G471" i="20"/>
  <c r="G516" i="20"/>
  <c r="G498" i="20"/>
  <c r="G469" i="20"/>
  <c r="G517" i="20"/>
  <c r="G494" i="20"/>
  <c r="G508" i="20"/>
  <c r="G1229" i="20"/>
  <c r="G1207" i="20"/>
  <c r="G1190" i="20"/>
  <c r="G1181" i="20"/>
  <c r="G1200" i="20"/>
  <c r="G1199" i="20"/>
  <c r="G1173" i="20"/>
  <c r="G1206" i="20"/>
  <c r="G1188" i="20"/>
  <c r="G1203" i="20"/>
  <c r="G1227" i="20"/>
  <c r="G1225" i="20"/>
  <c r="G1223" i="20"/>
  <c r="G1187" i="20"/>
  <c r="G1214" i="20"/>
  <c r="G1213" i="20"/>
  <c r="G1192" i="20"/>
  <c r="I1167" i="20"/>
  <c r="G1202" i="20"/>
  <c r="G1210" i="20"/>
  <c r="G1226" i="20"/>
  <c r="G1219" i="20"/>
  <c r="G1193" i="20"/>
  <c r="G1191" i="20"/>
  <c r="G1224" i="20"/>
  <c r="G1185" i="20"/>
  <c r="G1204" i="20"/>
  <c r="G1201" i="20"/>
  <c r="G1175" i="20"/>
  <c r="G1208" i="20"/>
  <c r="G1183" i="20"/>
  <c r="G1177" i="20"/>
  <c r="G1230" i="20"/>
  <c r="G1218" i="20"/>
  <c r="G1215" i="20"/>
  <c r="G1217" i="20"/>
  <c r="G1220" i="20"/>
  <c r="G1182" i="20"/>
  <c r="G1196" i="20"/>
  <c r="G1172" i="20"/>
  <c r="G1179" i="20"/>
  <c r="G1174" i="20"/>
  <c r="N1158" i="20" s="1"/>
  <c r="G1184" i="20"/>
  <c r="G1195" i="20"/>
  <c r="G1211" i="20"/>
  <c r="G1186" i="20"/>
  <c r="G1180" i="20"/>
  <c r="G1198" i="20"/>
  <c r="G1189" i="20"/>
  <c r="G1212" i="20"/>
  <c r="G1171" i="20"/>
  <c r="G1176" i="20"/>
  <c r="G1205" i="20"/>
  <c r="G1221" i="20"/>
  <c r="G1216" i="20"/>
  <c r="G1178" i="20"/>
  <c r="G1209" i="20"/>
  <c r="G1197" i="20"/>
  <c r="G1222" i="20"/>
  <c r="G1228" i="20"/>
  <c r="G1194" i="20"/>
  <c r="G1459" i="20"/>
  <c r="G1477" i="20"/>
  <c r="G1478" i="20"/>
  <c r="G1497" i="20"/>
  <c r="G1465" i="20"/>
  <c r="G1485" i="20"/>
  <c r="G1446" i="20"/>
  <c r="G1490" i="20"/>
  <c r="G1438" i="20"/>
  <c r="G1443" i="20"/>
  <c r="G1470" i="20"/>
  <c r="G1483" i="20"/>
  <c r="G1486" i="20"/>
  <c r="G1471" i="20"/>
  <c r="G1472" i="20"/>
  <c r="G1454" i="20"/>
  <c r="G1493" i="20"/>
  <c r="G1474" i="20"/>
  <c r="G1452" i="20"/>
  <c r="G1487" i="20"/>
  <c r="G1449" i="20"/>
  <c r="G1495" i="20"/>
  <c r="G1441" i="20"/>
  <c r="N1425" i="20" s="1"/>
  <c r="G1464" i="20"/>
  <c r="G1468" i="20"/>
  <c r="G1476" i="20"/>
  <c r="G1482" i="20"/>
  <c r="G1453" i="20"/>
  <c r="G1496" i="20"/>
  <c r="G1461" i="20"/>
  <c r="G1442" i="20"/>
  <c r="G1456" i="20"/>
  <c r="G1458" i="20"/>
  <c r="G1488" i="20"/>
  <c r="G1489" i="20"/>
  <c r="G1460" i="20"/>
  <c r="G1466" i="20"/>
  <c r="I1434" i="20"/>
  <c r="G1481" i="20"/>
  <c r="G1439" i="20"/>
  <c r="G1475" i="20"/>
  <c r="G1444" i="20"/>
  <c r="G1473" i="20"/>
  <c r="G1480" i="20"/>
  <c r="G1484" i="20"/>
  <c r="G1440" i="20"/>
  <c r="G1469" i="20"/>
  <c r="G1448" i="20"/>
  <c r="G1494" i="20"/>
  <c r="G1455" i="20"/>
  <c r="G1457" i="20"/>
  <c r="G1463" i="20"/>
  <c r="G1447" i="20"/>
  <c r="G1479" i="20"/>
  <c r="G1467" i="20"/>
  <c r="G1445" i="20"/>
  <c r="G1462" i="20"/>
  <c r="G1492" i="20"/>
  <c r="G1450" i="20"/>
  <c r="G1491" i="20"/>
  <c r="G1451" i="20"/>
  <c r="H849" i="13"/>
  <c r="H843" i="13"/>
  <c r="H802" i="13"/>
  <c r="M802" i="13" s="1"/>
  <c r="H834" i="13"/>
  <c r="H852" i="13"/>
  <c r="H806" i="13"/>
  <c r="H840" i="13"/>
  <c r="H800" i="13"/>
  <c r="M800" i="13" s="1"/>
  <c r="H796" i="13"/>
  <c r="M796" i="13" s="1"/>
  <c r="H812" i="13"/>
  <c r="H814" i="13"/>
  <c r="H824" i="13"/>
  <c r="H847" i="13"/>
  <c r="H809" i="13"/>
  <c r="H836" i="13"/>
  <c r="H820" i="13"/>
  <c r="H822" i="13"/>
  <c r="H832" i="13"/>
  <c r="H807" i="13"/>
  <c r="H811" i="13"/>
  <c r="H823" i="13"/>
  <c r="H848" i="13"/>
  <c r="H826" i="13"/>
  <c r="H829" i="13"/>
  <c r="H839" i="13"/>
  <c r="H819" i="13"/>
  <c r="H841" i="13"/>
  <c r="H838" i="13"/>
  <c r="H810" i="13"/>
  <c r="J791" i="13"/>
  <c r="H837" i="13"/>
  <c r="H817" i="13"/>
  <c r="H828" i="13"/>
  <c r="H804" i="13"/>
  <c r="H818" i="13"/>
  <c r="H827" i="13"/>
  <c r="H833" i="13"/>
  <c r="H805" i="13"/>
  <c r="M805" i="13" s="1"/>
  <c r="H846" i="13"/>
  <c r="H854" i="13"/>
  <c r="H835" i="13"/>
  <c r="H845" i="13"/>
  <c r="H813" i="13"/>
  <c r="H844" i="13"/>
  <c r="H850" i="13"/>
  <c r="H830" i="13"/>
  <c r="H853" i="13"/>
  <c r="H797" i="13"/>
  <c r="M797" i="13" s="1"/>
  <c r="H815" i="13"/>
  <c r="H801" i="13"/>
  <c r="M801" i="13" s="1"/>
  <c r="H803" i="13"/>
  <c r="M803" i="13" s="1"/>
  <c r="H799" i="13"/>
  <c r="M799" i="13" s="1"/>
  <c r="H798" i="13"/>
  <c r="M798" i="13" s="1"/>
  <c r="H821" i="13"/>
  <c r="H808" i="13"/>
  <c r="H816" i="13"/>
  <c r="H825" i="13"/>
  <c r="H795" i="13"/>
  <c r="H831" i="13"/>
  <c r="H851" i="13"/>
  <c r="H842" i="13"/>
  <c r="H921" i="13"/>
  <c r="H940" i="13"/>
  <c r="H894" i="13"/>
  <c r="H912" i="13"/>
  <c r="H927" i="13"/>
  <c r="H914" i="13"/>
  <c r="H905" i="13"/>
  <c r="H891" i="13"/>
  <c r="M891" i="13" s="1"/>
  <c r="H923" i="13"/>
  <c r="H888" i="13"/>
  <c r="M888" i="13" s="1"/>
  <c r="H902" i="13"/>
  <c r="H909" i="13"/>
  <c r="H935" i="13"/>
  <c r="H937" i="13"/>
  <c r="H929" i="13"/>
  <c r="H907" i="13"/>
  <c r="H892" i="13"/>
  <c r="H922" i="13"/>
  <c r="H916" i="13"/>
  <c r="H925" i="13"/>
  <c r="H882" i="13"/>
  <c r="M882" i="13" s="1"/>
  <c r="H901" i="13"/>
  <c r="H918" i="13"/>
  <c r="H930" i="13"/>
  <c r="H908" i="13"/>
  <c r="H904" i="13"/>
  <c r="H934" i="13"/>
  <c r="H889" i="13"/>
  <c r="M889" i="13" s="1"/>
  <c r="H903" i="13"/>
  <c r="H938" i="13"/>
  <c r="H924" i="13"/>
  <c r="H900" i="13"/>
  <c r="H886" i="13"/>
  <c r="M886" i="13" s="1"/>
  <c r="H899" i="13"/>
  <c r="H933" i="13"/>
  <c r="H890" i="13"/>
  <c r="M890" i="13" s="1"/>
  <c r="H910" i="13"/>
  <c r="H911" i="13"/>
  <c r="H893" i="13"/>
  <c r="M893" i="13" s="1"/>
  <c r="H895" i="13"/>
  <c r="H898" i="13"/>
  <c r="H885" i="13"/>
  <c r="M885" i="13" s="1"/>
  <c r="H919" i="13"/>
  <c r="H939" i="13"/>
  <c r="H936" i="13"/>
  <c r="H887" i="13"/>
  <c r="M887" i="13" s="1"/>
  <c r="H897" i="13"/>
  <c r="H915" i="13"/>
  <c r="H913" i="13"/>
  <c r="H932" i="13"/>
  <c r="H917" i="13"/>
  <c r="H883" i="13"/>
  <c r="M883" i="13" s="1"/>
  <c r="H926" i="13"/>
  <c r="J877" i="13"/>
  <c r="H884" i="13"/>
  <c r="M884" i="13" s="1"/>
  <c r="H881" i="13"/>
  <c r="H931" i="13"/>
  <c r="H896" i="13"/>
  <c r="H928" i="13"/>
  <c r="H920" i="13"/>
  <c r="H906" i="13"/>
  <c r="I811" i="20"/>
  <c r="G821" i="20"/>
  <c r="G835" i="20"/>
  <c r="G851" i="20"/>
  <c r="G857" i="20"/>
  <c r="G867" i="20"/>
  <c r="G870" i="20"/>
  <c r="G871" i="20"/>
  <c r="G828" i="20"/>
  <c r="G825" i="20"/>
  <c r="G822" i="20"/>
  <c r="G844" i="20"/>
  <c r="G852" i="20"/>
  <c r="G842" i="20"/>
  <c r="G864" i="20"/>
  <c r="G865" i="20"/>
  <c r="G868" i="20"/>
  <c r="G829" i="20"/>
  <c r="G847" i="20"/>
  <c r="G840" i="20"/>
  <c r="G858" i="20"/>
  <c r="G872" i="20"/>
  <c r="G827" i="20"/>
  <c r="G824" i="20"/>
  <c r="G831" i="20"/>
  <c r="G841" i="20"/>
  <c r="G845" i="20"/>
  <c r="G846" i="20"/>
  <c r="G869" i="20"/>
  <c r="G843" i="20"/>
  <c r="G866" i="20"/>
  <c r="G853" i="20"/>
  <c r="G823" i="20"/>
  <c r="G834" i="20"/>
  <c r="G873" i="20"/>
  <c r="G826" i="20"/>
  <c r="G839" i="20"/>
  <c r="G854" i="20"/>
  <c r="G861" i="20"/>
  <c r="G818" i="20"/>
  <c r="N802" i="20" s="1"/>
  <c r="G832" i="20"/>
  <c r="G855" i="20"/>
  <c r="G837" i="20"/>
  <c r="G820" i="20"/>
  <c r="G833" i="20"/>
  <c r="G856" i="20"/>
  <c r="G816" i="20"/>
  <c r="G830" i="20"/>
  <c r="G836" i="20"/>
  <c r="G850" i="20"/>
  <c r="G874" i="20"/>
  <c r="G860" i="20"/>
  <c r="G838" i="20"/>
  <c r="G863" i="20"/>
  <c r="G817" i="20"/>
  <c r="G819" i="20"/>
  <c r="G815" i="20"/>
  <c r="G862" i="20"/>
  <c r="G848" i="20"/>
  <c r="G859" i="20"/>
  <c r="G849" i="20"/>
  <c r="H659" i="13"/>
  <c r="H660" i="13"/>
  <c r="H661" i="13"/>
  <c r="H639" i="13"/>
  <c r="H657" i="13"/>
  <c r="H674" i="13"/>
  <c r="H622" i="13"/>
  <c r="M622" i="13" s="1"/>
  <c r="H642" i="13"/>
  <c r="H668" i="13"/>
  <c r="H669" i="13"/>
  <c r="H647" i="13"/>
  <c r="H656" i="13"/>
  <c r="H670" i="13"/>
  <c r="H632" i="13"/>
  <c r="H640" i="13"/>
  <c r="H621" i="13"/>
  <c r="M621" i="13" s="1"/>
  <c r="H655" i="13"/>
  <c r="H664" i="13"/>
  <c r="H673" i="13"/>
  <c r="H626" i="13"/>
  <c r="M626" i="13" s="1"/>
  <c r="H667" i="13"/>
  <c r="H676" i="13"/>
  <c r="H630" i="13"/>
  <c r="H663" i="13"/>
  <c r="H672" i="13"/>
  <c r="H662" i="13"/>
  <c r="H666" i="13"/>
  <c r="H650" i="13"/>
  <c r="H658" i="13"/>
  <c r="H628" i="13"/>
  <c r="M628" i="13" s="1"/>
  <c r="H638" i="13"/>
  <c r="H648" i="13"/>
  <c r="H654" i="13"/>
  <c r="H620" i="13"/>
  <c r="M620" i="13" s="1"/>
  <c r="H636" i="13"/>
  <c r="H646" i="13"/>
  <c r="J615" i="13"/>
  <c r="H634" i="13"/>
  <c r="H629" i="13"/>
  <c r="M629" i="13" s="1"/>
  <c r="H644" i="13"/>
  <c r="H619" i="13"/>
  <c r="H677" i="13"/>
  <c r="H623" i="13"/>
  <c r="M623" i="13" s="1"/>
  <c r="H652" i="13"/>
  <c r="H631" i="13"/>
  <c r="M631" i="13" s="1"/>
  <c r="H624" i="13"/>
  <c r="M624" i="13" s="1"/>
  <c r="H625" i="13"/>
  <c r="M625" i="13" s="1"/>
  <c r="H627" i="13"/>
  <c r="M627" i="13" s="1"/>
  <c r="H665" i="13"/>
  <c r="H645" i="13"/>
  <c r="H653" i="13"/>
  <c r="H633" i="13"/>
  <c r="H643" i="13"/>
  <c r="H641" i="13"/>
  <c r="H635" i="13"/>
  <c r="H649" i="13"/>
  <c r="H671" i="13"/>
  <c r="H651" i="13"/>
  <c r="H678" i="13"/>
  <c r="H637" i="13"/>
  <c r="H675" i="13"/>
  <c r="H1933" i="13"/>
  <c r="H1950" i="13"/>
  <c r="H1959" i="13"/>
  <c r="H1961" i="13"/>
  <c r="H1944" i="13"/>
  <c r="H1962" i="13"/>
  <c r="H1939" i="13"/>
  <c r="H1968" i="13"/>
  <c r="H1941" i="13"/>
  <c r="H1958" i="13"/>
  <c r="H1967" i="13"/>
  <c r="H1969" i="13"/>
  <c r="H1960" i="13"/>
  <c r="H1955" i="13"/>
  <c r="H1964" i="13"/>
  <c r="H1922" i="13"/>
  <c r="M1922" i="13" s="1"/>
  <c r="H1949" i="13"/>
  <c r="H1966" i="13"/>
  <c r="H1916" i="13"/>
  <c r="J1909" i="13"/>
  <c r="H1917" i="13"/>
  <c r="M1917" i="13" s="1"/>
  <c r="H1963" i="13"/>
  <c r="H1965" i="13"/>
  <c r="H1972" i="13"/>
  <c r="H1957" i="13"/>
  <c r="H1915" i="13"/>
  <c r="H1921" i="13"/>
  <c r="M1921" i="13" s="1"/>
  <c r="H1931" i="13"/>
  <c r="H1929" i="13"/>
  <c r="H1948" i="13"/>
  <c r="H1913" i="13"/>
  <c r="H1928" i="13"/>
  <c r="H1937" i="13"/>
  <c r="H1923" i="13"/>
  <c r="H1932" i="13"/>
  <c r="H1953" i="13"/>
  <c r="H1926" i="13"/>
  <c r="H1945" i="13"/>
  <c r="H1947" i="13"/>
  <c r="H1936" i="13"/>
  <c r="H1942" i="13"/>
  <c r="H1952" i="13"/>
  <c r="H1943" i="13"/>
  <c r="H1970" i="13"/>
  <c r="H1946" i="13"/>
  <c r="H1934" i="13"/>
  <c r="H1924" i="13"/>
  <c r="M1924" i="13" s="1"/>
  <c r="H1938" i="13"/>
  <c r="H1935" i="13"/>
  <c r="H1940" i="13"/>
  <c r="H1954" i="13"/>
  <c r="H1920" i="13"/>
  <c r="M1920" i="13" s="1"/>
  <c r="H1956" i="13"/>
  <c r="H1925" i="13"/>
  <c r="H1951" i="13"/>
  <c r="H1927" i="13"/>
  <c r="H1919" i="13"/>
  <c r="M1919" i="13" s="1"/>
  <c r="H1918" i="13"/>
  <c r="M1918" i="13" s="1"/>
  <c r="H1930" i="13"/>
  <c r="H1971" i="13"/>
  <c r="H1914" i="13"/>
  <c r="H368" i="13"/>
  <c r="M368" i="13" s="1"/>
  <c r="H375" i="13"/>
  <c r="H364" i="13"/>
  <c r="M364" i="13" s="1"/>
  <c r="H363" i="13"/>
  <c r="M363" i="13" s="1"/>
  <c r="H383" i="13"/>
  <c r="H361" i="13"/>
  <c r="H386" i="13"/>
  <c r="H412" i="13"/>
  <c r="H382" i="13"/>
  <c r="H391" i="13"/>
  <c r="H380" i="13"/>
  <c r="H381" i="13"/>
  <c r="H399" i="13"/>
  <c r="H409" i="13"/>
  <c r="H367" i="13"/>
  <c r="M367" i="13" s="1"/>
  <c r="H408" i="13"/>
  <c r="H398" i="13"/>
  <c r="H407" i="13"/>
  <c r="H396" i="13"/>
  <c r="H397" i="13"/>
  <c r="H415" i="13"/>
  <c r="H373" i="13"/>
  <c r="M373" i="13" s="1"/>
  <c r="H406" i="13"/>
  <c r="H420" i="13"/>
  <c r="H370" i="13"/>
  <c r="M370" i="13" s="1"/>
  <c r="H387" i="13"/>
  <c r="H369" i="13"/>
  <c r="M369" i="13" s="1"/>
  <c r="H362" i="13"/>
  <c r="M362" i="13" s="1"/>
  <c r="H395" i="13"/>
  <c r="H376" i="13"/>
  <c r="H393" i="13"/>
  <c r="H374" i="13"/>
  <c r="H403" i="13"/>
  <c r="H385" i="13"/>
  <c r="H418" i="13"/>
  <c r="H389" i="13"/>
  <c r="H419" i="13"/>
  <c r="H401" i="13"/>
  <c r="H390" i="13"/>
  <c r="H405" i="13"/>
  <c r="H413" i="13"/>
  <c r="H388" i="13"/>
  <c r="H378" i="13"/>
  <c r="H384" i="13"/>
  <c r="H411" i="13"/>
  <c r="H371" i="13"/>
  <c r="M371" i="13" s="1"/>
  <c r="H417" i="13"/>
  <c r="H394" i="13"/>
  <c r="H366" i="13"/>
  <c r="M366" i="13" s="1"/>
  <c r="H410" i="13"/>
  <c r="H379" i="13"/>
  <c r="H404" i="13"/>
  <c r="H372" i="13"/>
  <c r="H377" i="13"/>
  <c r="J357" i="13"/>
  <c r="H365" i="13"/>
  <c r="M365" i="13" s="1"/>
  <c r="H392" i="13"/>
  <c r="H402" i="13"/>
  <c r="H400" i="13"/>
  <c r="H416" i="13"/>
  <c r="H414" i="13"/>
  <c r="G1617" i="20"/>
  <c r="G1640" i="20"/>
  <c r="G1624" i="20"/>
  <c r="G1636" i="20"/>
  <c r="G1641" i="20"/>
  <c r="G1638" i="20"/>
  <c r="G1625" i="20"/>
  <c r="G1621" i="20"/>
  <c r="G1666" i="20"/>
  <c r="G1637" i="20"/>
  <c r="G1657" i="20"/>
  <c r="G1651" i="20"/>
  <c r="G1665" i="20"/>
  <c r="G1671" i="20"/>
  <c r="G1628" i="20"/>
  <c r="G1631" i="20"/>
  <c r="G1656" i="20"/>
  <c r="G1649" i="20"/>
  <c r="G1635" i="20"/>
  <c r="G1644" i="20"/>
  <c r="G1673" i="20"/>
  <c r="G1622" i="20"/>
  <c r="G1618" i="20"/>
  <c r="G1643" i="20"/>
  <c r="G1642" i="20"/>
  <c r="G1655" i="20"/>
  <c r="G1669" i="20"/>
  <c r="G1630" i="20"/>
  <c r="G1639" i="20"/>
  <c r="G1633" i="20"/>
  <c r="G1661" i="20"/>
  <c r="G1660" i="20"/>
  <c r="G1634" i="20"/>
  <c r="I1612" i="20"/>
  <c r="G1662" i="20"/>
  <c r="G1619" i="20"/>
  <c r="N1603" i="20" s="1"/>
  <c r="G1646" i="20"/>
  <c r="G1632" i="20"/>
  <c r="G1626" i="20"/>
  <c r="G1648" i="20"/>
  <c r="G1616" i="20"/>
  <c r="G1647" i="20"/>
  <c r="G1623" i="20"/>
  <c r="G1654" i="20"/>
  <c r="G1668" i="20"/>
  <c r="G1672" i="20"/>
  <c r="G1627" i="20"/>
  <c r="G1629" i="20"/>
  <c r="G1653" i="20"/>
  <c r="G1663" i="20"/>
  <c r="G1652" i="20"/>
  <c r="G1667" i="20"/>
  <c r="G1675" i="20"/>
  <c r="G1645" i="20"/>
  <c r="G1670" i="20"/>
  <c r="G1650" i="20"/>
  <c r="G1659" i="20"/>
  <c r="G1620" i="20"/>
  <c r="G1664" i="20"/>
  <c r="G1658" i="20"/>
  <c r="G1674" i="20"/>
  <c r="G752" i="20"/>
  <c r="G769" i="20"/>
  <c r="G763" i="20"/>
  <c r="G741" i="20"/>
  <c r="G782" i="20"/>
  <c r="G747" i="20"/>
  <c r="G742" i="20"/>
  <c r="G774" i="20"/>
  <c r="G771" i="20"/>
  <c r="G772" i="20"/>
  <c r="G776" i="20"/>
  <c r="G785" i="20"/>
  <c r="G750" i="20"/>
  <c r="G778" i="20"/>
  <c r="G732" i="20"/>
  <c r="G744" i="20"/>
  <c r="G730" i="20"/>
  <c r="G731" i="20"/>
  <c r="N713" i="20" s="1"/>
  <c r="G758" i="20"/>
  <c r="G761" i="20"/>
  <c r="G762" i="20"/>
  <c r="G736" i="20"/>
  <c r="G765" i="20"/>
  <c r="G746" i="20"/>
  <c r="G726" i="20"/>
  <c r="G756" i="20"/>
  <c r="G755" i="20"/>
  <c r="G781" i="20"/>
  <c r="G754" i="20"/>
  <c r="G739" i="20"/>
  <c r="G748" i="20"/>
  <c r="G767" i="20"/>
  <c r="G734" i="20"/>
  <c r="G733" i="20"/>
  <c r="G760" i="20"/>
  <c r="G729" i="20"/>
  <c r="G749" i="20"/>
  <c r="G757" i="20"/>
  <c r="G766" i="20"/>
  <c r="G780" i="20"/>
  <c r="G777" i="20"/>
  <c r="G740" i="20"/>
  <c r="I722" i="20"/>
  <c r="G743" i="20"/>
  <c r="G735" i="20"/>
  <c r="G727" i="20"/>
  <c r="G775" i="20"/>
  <c r="G768" i="20"/>
  <c r="G764" i="20"/>
  <c r="G770" i="20"/>
  <c r="G784" i="20"/>
  <c r="G753" i="20"/>
  <c r="G737" i="20"/>
  <c r="G759" i="20"/>
  <c r="G745" i="20"/>
  <c r="G728" i="20"/>
  <c r="G773" i="20"/>
  <c r="G779" i="20"/>
  <c r="G783" i="20"/>
  <c r="G738" i="20"/>
  <c r="G751" i="20"/>
  <c r="G661" i="20"/>
  <c r="G669" i="20"/>
  <c r="G691" i="20"/>
  <c r="G695" i="20"/>
  <c r="G644" i="20"/>
  <c r="G668" i="20"/>
  <c r="G678" i="20"/>
  <c r="G689" i="20"/>
  <c r="G675" i="20"/>
  <c r="G639" i="20"/>
  <c r="G662" i="20"/>
  <c r="G643" i="20"/>
  <c r="G646" i="20"/>
  <c r="G679" i="20"/>
  <c r="G649" i="20"/>
  <c r="G660" i="20"/>
  <c r="G684" i="20"/>
  <c r="G692" i="20"/>
  <c r="G650" i="20"/>
  <c r="G685" i="20"/>
  <c r="G670" i="20"/>
  <c r="I633" i="20"/>
  <c r="G676" i="20"/>
  <c r="G652" i="20"/>
  <c r="G648" i="20"/>
  <c r="G664" i="20"/>
  <c r="G693" i="20"/>
  <c r="G686" i="20"/>
  <c r="G642" i="20"/>
  <c r="N624" i="20" s="1"/>
  <c r="G641" i="20"/>
  <c r="G667" i="20"/>
  <c r="G647" i="20"/>
  <c r="G690" i="20"/>
  <c r="G645" i="20"/>
  <c r="G687" i="20"/>
  <c r="G696" i="20"/>
  <c r="G671" i="20"/>
  <c r="G680" i="20"/>
  <c r="G655" i="20"/>
  <c r="G672" i="20"/>
  <c r="G637" i="20"/>
  <c r="G665" i="20"/>
  <c r="G656" i="20"/>
  <c r="G688" i="20"/>
  <c r="G659" i="20"/>
  <c r="G682" i="20"/>
  <c r="G640" i="20"/>
  <c r="G658" i="20"/>
  <c r="G674" i="20"/>
  <c r="G666" i="20"/>
  <c r="G663" i="20"/>
  <c r="G673" i="20"/>
  <c r="G653" i="20"/>
  <c r="G683" i="20"/>
  <c r="G654" i="20"/>
  <c r="G651" i="20"/>
  <c r="G657" i="20"/>
  <c r="G677" i="20"/>
  <c r="G681" i="20"/>
  <c r="G638" i="20"/>
  <c r="G694" i="20"/>
  <c r="M1644" i="13" l="1"/>
  <c r="M1645" i="13" s="1"/>
  <c r="M956" i="13"/>
  <c r="M957" i="13" s="1"/>
  <c r="I299" i="13"/>
  <c r="J299" i="13" s="1"/>
  <c r="I324" i="13"/>
  <c r="J324" i="13" s="1"/>
  <c r="I326" i="13"/>
  <c r="J326" i="13" s="1"/>
  <c r="I320" i="13"/>
  <c r="J320" i="13" s="1"/>
  <c r="I313" i="13"/>
  <c r="J313" i="13" s="1"/>
  <c r="I298" i="13"/>
  <c r="J298" i="13" s="1"/>
  <c r="I308" i="13"/>
  <c r="J308" i="13" s="1"/>
  <c r="I312" i="13"/>
  <c r="J312" i="13" s="1"/>
  <c r="I307" i="13"/>
  <c r="J307" i="13" s="1"/>
  <c r="I293" i="13"/>
  <c r="J293" i="13" s="1"/>
  <c r="I317" i="13"/>
  <c r="J317" i="13" s="1"/>
  <c r="I334" i="13"/>
  <c r="J334" i="13" s="1"/>
  <c r="I333" i="13"/>
  <c r="J333" i="13" s="1"/>
  <c r="I322" i="13"/>
  <c r="J322" i="13" s="1"/>
  <c r="I330" i="13"/>
  <c r="J330" i="13" s="1"/>
  <c r="I277" i="13"/>
  <c r="I309" i="13"/>
  <c r="J309" i="13" s="1"/>
  <c r="I303" i="13"/>
  <c r="J303" i="13" s="1"/>
  <c r="I276" i="13"/>
  <c r="I310" i="13"/>
  <c r="J310" i="13" s="1"/>
  <c r="I331" i="13"/>
  <c r="J331" i="13" s="1"/>
  <c r="I297" i="13"/>
  <c r="J297" i="13" s="1"/>
  <c r="I327" i="13"/>
  <c r="J327" i="13" s="1"/>
  <c r="I318" i="13"/>
  <c r="J318" i="13" s="1"/>
  <c r="I306" i="13"/>
  <c r="J306" i="13" s="1"/>
  <c r="I279" i="13"/>
  <c r="I283" i="13"/>
  <c r="I285" i="13"/>
  <c r="I289" i="13"/>
  <c r="J289" i="13" s="1"/>
  <c r="I287" i="13"/>
  <c r="I319" i="13"/>
  <c r="J319" i="13" s="1"/>
  <c r="I328" i="13"/>
  <c r="J328" i="13" s="1"/>
  <c r="I302" i="13"/>
  <c r="J302" i="13" s="1"/>
  <c r="I281" i="13"/>
  <c r="I323" i="13"/>
  <c r="J323" i="13" s="1"/>
  <c r="I292" i="13"/>
  <c r="J292" i="13" s="1"/>
  <c r="I290" i="13"/>
  <c r="J290" i="13" s="1"/>
  <c r="I296" i="13"/>
  <c r="J296" i="13" s="1"/>
  <c r="I305" i="13"/>
  <c r="J305" i="13" s="1"/>
  <c r="I300" i="13"/>
  <c r="J300" i="13" s="1"/>
  <c r="I282" i="13"/>
  <c r="I304" i="13"/>
  <c r="J304" i="13" s="1"/>
  <c r="I286" i="13"/>
  <c r="I321" i="13"/>
  <c r="J321" i="13" s="1"/>
  <c r="I332" i="13"/>
  <c r="J332" i="13" s="1"/>
  <c r="I295" i="13"/>
  <c r="J295" i="13" s="1"/>
  <c r="I275" i="13"/>
  <c r="I280" i="13"/>
  <c r="I291" i="13"/>
  <c r="J291" i="13" s="1"/>
  <c r="I288" i="13"/>
  <c r="J288" i="13" s="1"/>
  <c r="I316" i="13"/>
  <c r="J316" i="13" s="1"/>
  <c r="I329" i="13"/>
  <c r="J329" i="13" s="1"/>
  <c r="I315" i="13"/>
  <c r="J315" i="13" s="1"/>
  <c r="I314" i="13"/>
  <c r="J314" i="13" s="1"/>
  <c r="I301" i="13"/>
  <c r="J301" i="13" s="1"/>
  <c r="I284" i="13"/>
  <c r="I311" i="13"/>
  <c r="J311" i="13" s="1"/>
  <c r="I325" i="13"/>
  <c r="J325" i="13" s="1"/>
  <c r="I278" i="13"/>
  <c r="I294" i="13"/>
  <c r="J294" i="13" s="1"/>
  <c r="H941" i="13"/>
  <c r="M881" i="13"/>
  <c r="H1973" i="13"/>
  <c r="G875" i="20"/>
  <c r="H852" i="20"/>
  <c r="I852" i="20" s="1"/>
  <c r="H841" i="20"/>
  <c r="I841" i="20" s="1"/>
  <c r="H817" i="20"/>
  <c r="I817" i="20" s="1"/>
  <c r="H824" i="20"/>
  <c r="I824" i="20" s="1"/>
  <c r="H860" i="20"/>
  <c r="I860" i="20" s="1"/>
  <c r="H828" i="20"/>
  <c r="I828" i="20" s="1"/>
  <c r="H834" i="20"/>
  <c r="I834" i="20" s="1"/>
  <c r="H827" i="20"/>
  <c r="I827" i="20" s="1"/>
  <c r="H858" i="20"/>
  <c r="I858" i="20" s="1"/>
  <c r="H859" i="20"/>
  <c r="I859" i="20" s="1"/>
  <c r="H846" i="20"/>
  <c r="I846" i="20" s="1"/>
  <c r="H820" i="20"/>
  <c r="I820" i="20" s="1"/>
  <c r="H840" i="20"/>
  <c r="I840" i="20" s="1"/>
  <c r="H874" i="20"/>
  <c r="I874" i="20" s="1"/>
  <c r="H816" i="20"/>
  <c r="I816" i="20" s="1"/>
  <c r="H851" i="20"/>
  <c r="I851" i="20" s="1"/>
  <c r="H853" i="20"/>
  <c r="I853" i="20" s="1"/>
  <c r="H855" i="20"/>
  <c r="I855" i="20" s="1"/>
  <c r="H839" i="20"/>
  <c r="I839" i="20" s="1"/>
  <c r="H826" i="20"/>
  <c r="I826" i="20" s="1"/>
  <c r="H873" i="20"/>
  <c r="I873" i="20" s="1"/>
  <c r="H861" i="20"/>
  <c r="I861" i="20" s="1"/>
  <c r="H836" i="20"/>
  <c r="I836" i="20" s="1"/>
  <c r="H868" i="20"/>
  <c r="I868" i="20" s="1"/>
  <c r="H867" i="20"/>
  <c r="I867" i="20" s="1"/>
  <c r="H818" i="20"/>
  <c r="H819" i="20"/>
  <c r="I819" i="20" s="1"/>
  <c r="H835" i="20"/>
  <c r="I835" i="20" s="1"/>
  <c r="H864" i="20"/>
  <c r="I864" i="20" s="1"/>
  <c r="H829" i="20"/>
  <c r="I829" i="20" s="1"/>
  <c r="H830" i="20"/>
  <c r="I830" i="20" s="1"/>
  <c r="H832" i="20"/>
  <c r="I832" i="20" s="1"/>
  <c r="H849" i="20"/>
  <c r="I849" i="20" s="1"/>
  <c r="H872" i="20"/>
  <c r="I872" i="20" s="1"/>
  <c r="H822" i="20"/>
  <c r="I822" i="20" s="1"/>
  <c r="H821" i="20"/>
  <c r="I821" i="20" s="1"/>
  <c r="H848" i="20"/>
  <c r="I848" i="20" s="1"/>
  <c r="H857" i="20"/>
  <c r="I857" i="20" s="1"/>
  <c r="H850" i="20"/>
  <c r="I850" i="20" s="1"/>
  <c r="H837" i="20"/>
  <c r="I837" i="20" s="1"/>
  <c r="H865" i="20"/>
  <c r="I865" i="20" s="1"/>
  <c r="H833" i="20"/>
  <c r="I833" i="20" s="1"/>
  <c r="H825" i="20"/>
  <c r="I825" i="20" s="1"/>
  <c r="H831" i="20"/>
  <c r="I831" i="20" s="1"/>
  <c r="H823" i="20"/>
  <c r="I823" i="20" s="1"/>
  <c r="H845" i="20"/>
  <c r="I845" i="20" s="1"/>
  <c r="H815" i="20"/>
  <c r="H871" i="20"/>
  <c r="I871" i="20" s="1"/>
  <c r="H866" i="20"/>
  <c r="I866" i="20" s="1"/>
  <c r="H842" i="20"/>
  <c r="I842" i="20" s="1"/>
  <c r="H863" i="20"/>
  <c r="I863" i="20" s="1"/>
  <c r="H854" i="20"/>
  <c r="I854" i="20" s="1"/>
  <c r="H844" i="20"/>
  <c r="I844" i="20" s="1"/>
  <c r="H862" i="20"/>
  <c r="I862" i="20" s="1"/>
  <c r="H856" i="20"/>
  <c r="I856" i="20" s="1"/>
  <c r="H870" i="20"/>
  <c r="I870" i="20" s="1"/>
  <c r="H869" i="20"/>
  <c r="I869" i="20" s="1"/>
  <c r="H843" i="20"/>
  <c r="I843" i="20" s="1"/>
  <c r="H838" i="20"/>
  <c r="I838" i="20" s="1"/>
  <c r="H847" i="20"/>
  <c r="I847" i="20" s="1"/>
  <c r="I929" i="13"/>
  <c r="J929" i="13" s="1"/>
  <c r="I930" i="13"/>
  <c r="J930" i="13" s="1"/>
  <c r="I932" i="13"/>
  <c r="J932" i="13" s="1"/>
  <c r="I908" i="13"/>
  <c r="J908" i="13" s="1"/>
  <c r="I927" i="13"/>
  <c r="J927" i="13" s="1"/>
  <c r="I917" i="13"/>
  <c r="J917" i="13" s="1"/>
  <c r="I926" i="13"/>
  <c r="J926" i="13" s="1"/>
  <c r="I900" i="13"/>
  <c r="J900" i="13" s="1"/>
  <c r="I938" i="13"/>
  <c r="J938" i="13" s="1"/>
  <c r="I940" i="13"/>
  <c r="J940" i="13" s="1"/>
  <c r="I881" i="13"/>
  <c r="I916" i="13"/>
  <c r="J916" i="13" s="1"/>
  <c r="I907" i="13"/>
  <c r="J907" i="13" s="1"/>
  <c r="I925" i="13"/>
  <c r="J925" i="13" s="1"/>
  <c r="I934" i="13"/>
  <c r="J934" i="13" s="1"/>
  <c r="I890" i="13"/>
  <c r="I894" i="13"/>
  <c r="J894" i="13" s="1"/>
  <c r="I903" i="13"/>
  <c r="J903" i="13" s="1"/>
  <c r="I924" i="13"/>
  <c r="J924" i="13" s="1"/>
  <c r="I936" i="13"/>
  <c r="J936" i="13" s="1"/>
  <c r="I883" i="13"/>
  <c r="I915" i="13"/>
  <c r="J915" i="13" s="1"/>
  <c r="I901" i="13"/>
  <c r="J901" i="13" s="1"/>
  <c r="I910" i="13"/>
  <c r="J910" i="13" s="1"/>
  <c r="I919" i="13"/>
  <c r="J919" i="13" s="1"/>
  <c r="I933" i="13"/>
  <c r="J933" i="13" s="1"/>
  <c r="I885" i="13"/>
  <c r="I923" i="13"/>
  <c r="J923" i="13" s="1"/>
  <c r="I891" i="13"/>
  <c r="I892" i="13"/>
  <c r="I895" i="13"/>
  <c r="J895" i="13" s="1"/>
  <c r="I896" i="13"/>
  <c r="J896" i="13" s="1"/>
  <c r="I884" i="13"/>
  <c r="I897" i="13"/>
  <c r="J897" i="13" s="1"/>
  <c r="I939" i="13"/>
  <c r="J939" i="13" s="1"/>
  <c r="I904" i="13"/>
  <c r="J904" i="13" s="1"/>
  <c r="I906" i="13"/>
  <c r="J906" i="13" s="1"/>
  <c r="I931" i="13"/>
  <c r="J931" i="13" s="1"/>
  <c r="I893" i="13"/>
  <c r="I937" i="13"/>
  <c r="J937" i="13" s="1"/>
  <c r="I912" i="13"/>
  <c r="J912" i="13" s="1"/>
  <c r="I914" i="13"/>
  <c r="J914" i="13" s="1"/>
  <c r="I889" i="13"/>
  <c r="I935" i="13"/>
  <c r="J935" i="13" s="1"/>
  <c r="I898" i="13"/>
  <c r="J898" i="13" s="1"/>
  <c r="I905" i="13"/>
  <c r="J905" i="13" s="1"/>
  <c r="I899" i="13"/>
  <c r="J899" i="13" s="1"/>
  <c r="I913" i="13"/>
  <c r="J913" i="13" s="1"/>
  <c r="I911" i="13"/>
  <c r="J911" i="13" s="1"/>
  <c r="I920" i="13"/>
  <c r="J920" i="13" s="1"/>
  <c r="I922" i="13"/>
  <c r="J922" i="13" s="1"/>
  <c r="I888" i="13"/>
  <c r="I918" i="13"/>
  <c r="J918" i="13" s="1"/>
  <c r="I886" i="13"/>
  <c r="I882" i="13"/>
  <c r="I902" i="13"/>
  <c r="J902" i="13" s="1"/>
  <c r="I921" i="13"/>
  <c r="J921" i="13" s="1"/>
  <c r="I887" i="13"/>
  <c r="I909" i="13"/>
  <c r="J909" i="13" s="1"/>
  <c r="I928" i="13"/>
  <c r="J928" i="13" s="1"/>
  <c r="G964" i="20"/>
  <c r="H1825" i="20"/>
  <c r="I1825" i="20" s="1"/>
  <c r="H1842" i="20"/>
  <c r="I1842" i="20" s="1"/>
  <c r="H1853" i="20"/>
  <c r="I1853" i="20" s="1"/>
  <c r="H1824" i="20"/>
  <c r="I1824" i="20" s="1"/>
  <c r="H1798" i="20"/>
  <c r="I1798" i="20" s="1"/>
  <c r="H1797" i="20"/>
  <c r="I1797" i="20" s="1"/>
  <c r="H1839" i="20"/>
  <c r="I1839" i="20" s="1"/>
  <c r="H1810" i="20"/>
  <c r="I1810" i="20" s="1"/>
  <c r="H1800" i="20"/>
  <c r="I1800" i="20" s="1"/>
  <c r="H1844" i="20"/>
  <c r="I1844" i="20" s="1"/>
  <c r="H1828" i="20"/>
  <c r="I1828" i="20" s="1"/>
  <c r="H1836" i="20"/>
  <c r="I1836" i="20" s="1"/>
  <c r="H1837" i="20"/>
  <c r="I1837" i="20" s="1"/>
  <c r="H1812" i="20"/>
  <c r="I1812" i="20" s="1"/>
  <c r="H1851" i="20"/>
  <c r="I1851" i="20" s="1"/>
  <c r="H1802" i="20"/>
  <c r="I1802" i="20" s="1"/>
  <c r="H1806" i="20"/>
  <c r="I1806" i="20" s="1"/>
  <c r="H1809" i="20"/>
  <c r="I1809" i="20" s="1"/>
  <c r="H1819" i="20"/>
  <c r="I1819" i="20" s="1"/>
  <c r="H1829" i="20"/>
  <c r="I1829" i="20" s="1"/>
  <c r="H1813" i="20"/>
  <c r="I1813" i="20" s="1"/>
  <c r="H1804" i="20"/>
  <c r="I1804" i="20" s="1"/>
  <c r="H1805" i="20"/>
  <c r="I1805" i="20" s="1"/>
  <c r="H1811" i="20"/>
  <c r="I1811" i="20" s="1"/>
  <c r="H1838" i="20"/>
  <c r="I1838" i="20" s="1"/>
  <c r="H1850" i="20"/>
  <c r="I1850" i="20" s="1"/>
  <c r="H1814" i="20"/>
  <c r="I1814" i="20" s="1"/>
  <c r="H1827" i="20"/>
  <c r="I1827" i="20" s="1"/>
  <c r="H1826" i="20"/>
  <c r="I1826" i="20" s="1"/>
  <c r="H1815" i="20"/>
  <c r="I1815" i="20" s="1"/>
  <c r="H1852" i="20"/>
  <c r="I1852" i="20" s="1"/>
  <c r="H1841" i="20"/>
  <c r="I1841" i="20" s="1"/>
  <c r="H1818" i="20"/>
  <c r="I1818" i="20" s="1"/>
  <c r="H1831" i="20"/>
  <c r="I1831" i="20" s="1"/>
  <c r="H1803" i="20"/>
  <c r="I1803" i="20" s="1"/>
  <c r="H1854" i="20"/>
  <c r="I1854" i="20" s="1"/>
  <c r="H1799" i="20"/>
  <c r="I1799" i="20" s="1"/>
  <c r="H1846" i="20"/>
  <c r="I1846" i="20" s="1"/>
  <c r="H1840" i="20"/>
  <c r="I1840" i="20" s="1"/>
  <c r="H1817" i="20"/>
  <c r="I1817" i="20" s="1"/>
  <c r="H1821" i="20"/>
  <c r="I1821" i="20" s="1"/>
  <c r="H1845" i="20"/>
  <c r="I1845" i="20" s="1"/>
  <c r="H1808" i="20"/>
  <c r="I1808" i="20" s="1"/>
  <c r="H1832" i="20"/>
  <c r="I1832" i="20" s="1"/>
  <c r="H1801" i="20"/>
  <c r="I1801" i="20" s="1"/>
  <c r="H1834" i="20"/>
  <c r="I1834" i="20" s="1"/>
  <c r="H1807" i="20"/>
  <c r="I1807" i="20" s="1"/>
  <c r="H1820" i="20"/>
  <c r="I1820" i="20" s="1"/>
  <c r="H1843" i="20"/>
  <c r="I1843" i="20" s="1"/>
  <c r="H1822" i="20"/>
  <c r="I1822" i="20" s="1"/>
  <c r="H1796" i="20"/>
  <c r="I1796" i="20" s="1"/>
  <c r="H1848" i="20"/>
  <c r="I1848" i="20" s="1"/>
  <c r="H1847" i="20"/>
  <c r="I1847" i="20" s="1"/>
  <c r="H1823" i="20"/>
  <c r="I1823" i="20" s="1"/>
  <c r="H1795" i="20"/>
  <c r="H1833" i="20"/>
  <c r="I1833" i="20" s="1"/>
  <c r="H1816" i="20"/>
  <c r="I1816" i="20" s="1"/>
  <c r="H1849" i="20"/>
  <c r="I1849" i="20" s="1"/>
  <c r="H1835" i="20"/>
  <c r="I1835" i="20" s="1"/>
  <c r="H1830" i="20"/>
  <c r="I1830" i="20" s="1"/>
  <c r="H1715" i="13"/>
  <c r="H203" i="20"/>
  <c r="I203" i="20" s="1"/>
  <c r="H199" i="20"/>
  <c r="I199" i="20" s="1"/>
  <c r="H219" i="20"/>
  <c r="I219" i="20" s="1"/>
  <c r="H240" i="20"/>
  <c r="I240" i="20" s="1"/>
  <c r="H249" i="20"/>
  <c r="I249" i="20" s="1"/>
  <c r="H196" i="20"/>
  <c r="H245" i="20"/>
  <c r="I245" i="20" s="1"/>
  <c r="H248" i="20"/>
  <c r="I248" i="20" s="1"/>
  <c r="H195" i="20"/>
  <c r="I195" i="20" s="1"/>
  <c r="H232" i="20"/>
  <c r="I232" i="20" s="1"/>
  <c r="H201" i="20"/>
  <c r="I201" i="20" s="1"/>
  <c r="H213" i="20"/>
  <c r="I213" i="20" s="1"/>
  <c r="H233" i="20"/>
  <c r="I233" i="20" s="1"/>
  <c r="H236" i="20"/>
  <c r="I236" i="20" s="1"/>
  <c r="H214" i="20"/>
  <c r="I214" i="20" s="1"/>
  <c r="H224" i="20"/>
  <c r="I224" i="20" s="1"/>
  <c r="H191" i="20"/>
  <c r="I191" i="20" s="1"/>
  <c r="H193" i="20"/>
  <c r="I193" i="20" s="1"/>
  <c r="H239" i="20"/>
  <c r="I239" i="20" s="1"/>
  <c r="H244" i="20"/>
  <c r="I244" i="20" s="1"/>
  <c r="H217" i="20"/>
  <c r="I217" i="20" s="1"/>
  <c r="H198" i="20"/>
  <c r="I198" i="20" s="1"/>
  <c r="H202" i="20"/>
  <c r="I202" i="20" s="1"/>
  <c r="H205" i="20"/>
  <c r="I205" i="20" s="1"/>
  <c r="H222" i="20"/>
  <c r="I222" i="20" s="1"/>
  <c r="H211" i="20"/>
  <c r="I211" i="20" s="1"/>
  <c r="H242" i="20"/>
  <c r="I242" i="20" s="1"/>
  <c r="H246" i="20"/>
  <c r="I246" i="20" s="1"/>
  <c r="H241" i="20"/>
  <c r="I241" i="20" s="1"/>
  <c r="H208" i="20"/>
  <c r="I208" i="20" s="1"/>
  <c r="H229" i="20"/>
  <c r="I229" i="20" s="1"/>
  <c r="H216" i="20"/>
  <c r="I216" i="20" s="1"/>
  <c r="H235" i="20"/>
  <c r="I235" i="20" s="1"/>
  <c r="H238" i="20"/>
  <c r="I238" i="20" s="1"/>
  <c r="H221" i="20"/>
  <c r="I221" i="20" s="1"/>
  <c r="H212" i="20"/>
  <c r="I212" i="20" s="1"/>
  <c r="H243" i="20"/>
  <c r="I243" i="20" s="1"/>
  <c r="H230" i="20"/>
  <c r="I230" i="20" s="1"/>
  <c r="H247" i="20"/>
  <c r="I247" i="20" s="1"/>
  <c r="H190" i="20"/>
  <c r="H220" i="20"/>
  <c r="I220" i="20" s="1"/>
  <c r="H204" i="20"/>
  <c r="I204" i="20" s="1"/>
  <c r="H231" i="20"/>
  <c r="I231" i="20" s="1"/>
  <c r="H192" i="20"/>
  <c r="I192" i="20" s="1"/>
  <c r="H223" i="20"/>
  <c r="I223" i="20" s="1"/>
  <c r="H218" i="20"/>
  <c r="I218" i="20" s="1"/>
  <c r="H206" i="20"/>
  <c r="I206" i="20" s="1"/>
  <c r="H237" i="20"/>
  <c r="I237" i="20" s="1"/>
  <c r="H227" i="20"/>
  <c r="I227" i="20" s="1"/>
  <c r="H209" i="20"/>
  <c r="I209" i="20" s="1"/>
  <c r="H207" i="20"/>
  <c r="I207" i="20" s="1"/>
  <c r="H226" i="20"/>
  <c r="I226" i="20" s="1"/>
  <c r="H228" i="20"/>
  <c r="I228" i="20" s="1"/>
  <c r="H197" i="20"/>
  <c r="I197" i="20" s="1"/>
  <c r="H225" i="20"/>
  <c r="I225" i="20" s="1"/>
  <c r="H215" i="20"/>
  <c r="I215" i="20" s="1"/>
  <c r="H210" i="20"/>
  <c r="I210" i="20" s="1"/>
  <c r="H234" i="20"/>
  <c r="I234" i="20" s="1"/>
  <c r="H194" i="20"/>
  <c r="I194" i="20" s="1"/>
  <c r="H200" i="20"/>
  <c r="I200" i="20" s="1"/>
  <c r="I748" i="13"/>
  <c r="J748" i="13" s="1"/>
  <c r="I716" i="13"/>
  <c r="I710" i="13"/>
  <c r="I746" i="13"/>
  <c r="J746" i="13" s="1"/>
  <c r="I733" i="13"/>
  <c r="J733" i="13" s="1"/>
  <c r="I729" i="13"/>
  <c r="J729" i="13" s="1"/>
  <c r="I751" i="13"/>
  <c r="J751" i="13" s="1"/>
  <c r="I719" i="13"/>
  <c r="I732" i="13"/>
  <c r="J732" i="13" s="1"/>
  <c r="I721" i="13"/>
  <c r="J721" i="13" s="1"/>
  <c r="I762" i="13"/>
  <c r="J762" i="13" s="1"/>
  <c r="I741" i="13"/>
  <c r="J741" i="13" s="1"/>
  <c r="I747" i="13"/>
  <c r="J747" i="13" s="1"/>
  <c r="I757" i="13"/>
  <c r="J757" i="13" s="1"/>
  <c r="I715" i="13"/>
  <c r="I723" i="13"/>
  <c r="J723" i="13" s="1"/>
  <c r="I734" i="13"/>
  <c r="J734" i="13" s="1"/>
  <c r="I712" i="13"/>
  <c r="I759" i="13"/>
  <c r="J759" i="13" s="1"/>
  <c r="I737" i="13"/>
  <c r="J737" i="13" s="1"/>
  <c r="I744" i="13"/>
  <c r="J744" i="13" s="1"/>
  <c r="I722" i="13"/>
  <c r="J722" i="13" s="1"/>
  <c r="I718" i="13"/>
  <c r="I753" i="13"/>
  <c r="J753" i="13" s="1"/>
  <c r="I739" i="13"/>
  <c r="J739" i="13" s="1"/>
  <c r="I724" i="13"/>
  <c r="J724" i="13" s="1"/>
  <c r="I726" i="13"/>
  <c r="J726" i="13" s="1"/>
  <c r="I749" i="13"/>
  <c r="J749" i="13" s="1"/>
  <c r="I765" i="13"/>
  <c r="J765" i="13" s="1"/>
  <c r="I736" i="13"/>
  <c r="J736" i="13" s="1"/>
  <c r="I754" i="13"/>
  <c r="J754" i="13" s="1"/>
  <c r="I717" i="13"/>
  <c r="I735" i="13"/>
  <c r="J735" i="13" s="1"/>
  <c r="I760" i="13"/>
  <c r="J760" i="13" s="1"/>
  <c r="I764" i="13"/>
  <c r="J764" i="13" s="1"/>
  <c r="I756" i="13"/>
  <c r="J756" i="13" s="1"/>
  <c r="I752" i="13"/>
  <c r="J752" i="13" s="1"/>
  <c r="I714" i="13"/>
  <c r="I742" i="13"/>
  <c r="J742" i="13" s="1"/>
  <c r="I745" i="13"/>
  <c r="J745" i="13" s="1"/>
  <c r="I708" i="13"/>
  <c r="I750" i="13"/>
  <c r="J750" i="13" s="1"/>
  <c r="I707" i="13"/>
  <c r="I709" i="13"/>
  <c r="I725" i="13"/>
  <c r="J725" i="13" s="1"/>
  <c r="I761" i="13"/>
  <c r="J761" i="13" s="1"/>
  <c r="I713" i="13"/>
  <c r="I728" i="13"/>
  <c r="J728" i="13" s="1"/>
  <c r="I740" i="13"/>
  <c r="J740" i="13" s="1"/>
  <c r="I766" i="13"/>
  <c r="J766" i="13" s="1"/>
  <c r="I731" i="13"/>
  <c r="J731" i="13" s="1"/>
  <c r="I727" i="13"/>
  <c r="J727" i="13" s="1"/>
  <c r="I758" i="13"/>
  <c r="J758" i="13" s="1"/>
  <c r="I720" i="13"/>
  <c r="J720" i="13" s="1"/>
  <c r="I743" i="13"/>
  <c r="J743" i="13" s="1"/>
  <c r="I755" i="13"/>
  <c r="J755" i="13" s="1"/>
  <c r="I730" i="13"/>
  <c r="J730" i="13" s="1"/>
  <c r="I711" i="13"/>
  <c r="I763" i="13"/>
  <c r="J763" i="13" s="1"/>
  <c r="I738" i="13"/>
  <c r="J738" i="13" s="1"/>
  <c r="I1254" i="13"/>
  <c r="J1254" i="13" s="1"/>
  <c r="I1270" i="13"/>
  <c r="J1270" i="13" s="1"/>
  <c r="I1269" i="13"/>
  <c r="J1269" i="13" s="1"/>
  <c r="I1279" i="13"/>
  <c r="J1279" i="13" s="1"/>
  <c r="I1226" i="13"/>
  <c r="I1231" i="13"/>
  <c r="I1267" i="13"/>
  <c r="J1267" i="13" s="1"/>
  <c r="I1240" i="13"/>
  <c r="J1240" i="13" s="1"/>
  <c r="I1241" i="13"/>
  <c r="J1241" i="13" s="1"/>
  <c r="I1242" i="13"/>
  <c r="J1242" i="13" s="1"/>
  <c r="I1244" i="13"/>
  <c r="J1244" i="13" s="1"/>
  <c r="I1278" i="13"/>
  <c r="J1278" i="13" s="1"/>
  <c r="I1239" i="13"/>
  <c r="J1239" i="13" s="1"/>
  <c r="I1234" i="13"/>
  <c r="I1227" i="13"/>
  <c r="I1248" i="13"/>
  <c r="J1248" i="13" s="1"/>
  <c r="I1249" i="13"/>
  <c r="J1249" i="13" s="1"/>
  <c r="I1250" i="13"/>
  <c r="J1250" i="13" s="1"/>
  <c r="I1252" i="13"/>
  <c r="J1252" i="13" s="1"/>
  <c r="I1238" i="13"/>
  <c r="J1238" i="13" s="1"/>
  <c r="I1251" i="13"/>
  <c r="J1251" i="13" s="1"/>
  <c r="I1247" i="13"/>
  <c r="J1247" i="13" s="1"/>
  <c r="I1253" i="13"/>
  <c r="J1253" i="13" s="1"/>
  <c r="I1257" i="13"/>
  <c r="J1257" i="13" s="1"/>
  <c r="I1282" i="13"/>
  <c r="J1282" i="13" s="1"/>
  <c r="I1255" i="13"/>
  <c r="J1255" i="13" s="1"/>
  <c r="I1246" i="13"/>
  <c r="J1246" i="13" s="1"/>
  <c r="I1276" i="13"/>
  <c r="J1276" i="13" s="1"/>
  <c r="I1258" i="13"/>
  <c r="J1258" i="13" s="1"/>
  <c r="I1237" i="13"/>
  <c r="J1237" i="13" s="1"/>
  <c r="I1261" i="13"/>
  <c r="J1261" i="13" s="1"/>
  <c r="I1265" i="13"/>
  <c r="J1265" i="13" s="1"/>
  <c r="I1228" i="13"/>
  <c r="I1277" i="13"/>
  <c r="J1277" i="13" s="1"/>
  <c r="I1262" i="13"/>
  <c r="J1262" i="13" s="1"/>
  <c r="I1264" i="13"/>
  <c r="J1264" i="13" s="1"/>
  <c r="I1232" i="13"/>
  <c r="I1243" i="13"/>
  <c r="J1243" i="13" s="1"/>
  <c r="I1230" i="13"/>
  <c r="I1273" i="13"/>
  <c r="J1273" i="13" s="1"/>
  <c r="I1260" i="13"/>
  <c r="J1260" i="13" s="1"/>
  <c r="I1275" i="13"/>
  <c r="J1275" i="13" s="1"/>
  <c r="I1283" i="13"/>
  <c r="J1283" i="13" s="1"/>
  <c r="I1236" i="13"/>
  <c r="J1236" i="13" s="1"/>
  <c r="I1272" i="13"/>
  <c r="J1272" i="13" s="1"/>
  <c r="I1229" i="13"/>
  <c r="I1266" i="13"/>
  <c r="J1266" i="13" s="1"/>
  <c r="I1263" i="13"/>
  <c r="J1263" i="13" s="1"/>
  <c r="I1256" i="13"/>
  <c r="J1256" i="13" s="1"/>
  <c r="I1281" i="13"/>
  <c r="J1281" i="13" s="1"/>
  <c r="I1268" i="13"/>
  <c r="J1268" i="13" s="1"/>
  <c r="I1235" i="13"/>
  <c r="I1271" i="13"/>
  <c r="J1271" i="13" s="1"/>
  <c r="I1284" i="13"/>
  <c r="J1284" i="13" s="1"/>
  <c r="I1280" i="13"/>
  <c r="J1280" i="13" s="1"/>
  <c r="I1245" i="13"/>
  <c r="J1245" i="13" s="1"/>
  <c r="I1274" i="13"/>
  <c r="J1274" i="13" s="1"/>
  <c r="I1259" i="13"/>
  <c r="J1259" i="13" s="1"/>
  <c r="I1233" i="13"/>
  <c r="I1225" i="13"/>
  <c r="M1397" i="13"/>
  <c r="H1457" i="13"/>
  <c r="I1537" i="13"/>
  <c r="J1537" i="13" s="1"/>
  <c r="I1542" i="13"/>
  <c r="J1542" i="13" s="1"/>
  <c r="I1529" i="13"/>
  <c r="J1529" i="13" s="1"/>
  <c r="I1492" i="13"/>
  <c r="I1528" i="13"/>
  <c r="J1528" i="13" s="1"/>
  <c r="I1501" i="13"/>
  <c r="J1501" i="13" s="1"/>
  <c r="I1533" i="13"/>
  <c r="J1533" i="13" s="1"/>
  <c r="I1526" i="13"/>
  <c r="J1526" i="13" s="1"/>
  <c r="I1505" i="13"/>
  <c r="J1505" i="13" s="1"/>
  <c r="I1510" i="13"/>
  <c r="J1510" i="13" s="1"/>
  <c r="I1504" i="13"/>
  <c r="J1504" i="13" s="1"/>
  <c r="I1524" i="13"/>
  <c r="J1524" i="13" s="1"/>
  <c r="I1484" i="13"/>
  <c r="I1487" i="13"/>
  <c r="I1490" i="13"/>
  <c r="I1527" i="13"/>
  <c r="J1527" i="13" s="1"/>
  <c r="I1518" i="13"/>
  <c r="J1518" i="13" s="1"/>
  <c r="I1513" i="13"/>
  <c r="J1513" i="13" s="1"/>
  <c r="I1489" i="13"/>
  <c r="I1507" i="13"/>
  <c r="J1507" i="13" s="1"/>
  <c r="I1502" i="13"/>
  <c r="J1502" i="13" s="1"/>
  <c r="I1517" i="13"/>
  <c r="J1517" i="13" s="1"/>
  <c r="I1534" i="13"/>
  <c r="J1534" i="13" s="1"/>
  <c r="I1540" i="13"/>
  <c r="J1540" i="13" s="1"/>
  <c r="I1519" i="13"/>
  <c r="J1519" i="13" s="1"/>
  <c r="I1522" i="13"/>
  <c r="J1522" i="13" s="1"/>
  <c r="I1521" i="13"/>
  <c r="J1521" i="13" s="1"/>
  <c r="I1506" i="13"/>
  <c r="J1506" i="13" s="1"/>
  <c r="I1494" i="13"/>
  <c r="J1494" i="13" s="1"/>
  <c r="I1532" i="13"/>
  <c r="J1532" i="13" s="1"/>
  <c r="I1525" i="13"/>
  <c r="J1525" i="13" s="1"/>
  <c r="I1499" i="13"/>
  <c r="J1499" i="13" s="1"/>
  <c r="I1486" i="13"/>
  <c r="I1530" i="13"/>
  <c r="J1530" i="13" s="1"/>
  <c r="I1535" i="13"/>
  <c r="J1535" i="13" s="1"/>
  <c r="I1520" i="13"/>
  <c r="J1520" i="13" s="1"/>
  <c r="I1508" i="13"/>
  <c r="J1508" i="13" s="1"/>
  <c r="I1512" i="13"/>
  <c r="J1512" i="13" s="1"/>
  <c r="I1495" i="13"/>
  <c r="J1495" i="13" s="1"/>
  <c r="I1496" i="13"/>
  <c r="J1496" i="13" s="1"/>
  <c r="I1538" i="13"/>
  <c r="J1538" i="13" s="1"/>
  <c r="I1514" i="13"/>
  <c r="J1514" i="13" s="1"/>
  <c r="I1511" i="13"/>
  <c r="J1511" i="13" s="1"/>
  <c r="I1493" i="13"/>
  <c r="I1503" i="13"/>
  <c r="J1503" i="13" s="1"/>
  <c r="I1516" i="13"/>
  <c r="J1516" i="13" s="1"/>
  <c r="I1498" i="13"/>
  <c r="J1498" i="13" s="1"/>
  <c r="I1491" i="13"/>
  <c r="I1488" i="13"/>
  <c r="I1500" i="13"/>
  <c r="J1500" i="13" s="1"/>
  <c r="I1515" i="13"/>
  <c r="J1515" i="13" s="1"/>
  <c r="I1539" i="13"/>
  <c r="J1539" i="13" s="1"/>
  <c r="I1523" i="13"/>
  <c r="J1523" i="13" s="1"/>
  <c r="I1536" i="13"/>
  <c r="J1536" i="13" s="1"/>
  <c r="I1485" i="13"/>
  <c r="I1497" i="13"/>
  <c r="J1497" i="13" s="1"/>
  <c r="I1531" i="13"/>
  <c r="J1531" i="13" s="1"/>
  <c r="I1541" i="13"/>
  <c r="J1541" i="13" s="1"/>
  <c r="I1483" i="13"/>
  <c r="I1509" i="13"/>
  <c r="J1509" i="13" s="1"/>
  <c r="M1148" i="13"/>
  <c r="M1128" i="13"/>
  <c r="M1129" i="13" s="1"/>
  <c r="H1104" i="20"/>
  <c r="I1104" i="20" s="1"/>
  <c r="H1130" i="20"/>
  <c r="I1130" i="20" s="1"/>
  <c r="H1132" i="20"/>
  <c r="I1132" i="20" s="1"/>
  <c r="H1097" i="20"/>
  <c r="I1097" i="20" s="1"/>
  <c r="H1106" i="20"/>
  <c r="I1106" i="20" s="1"/>
  <c r="H1109" i="20"/>
  <c r="I1109" i="20" s="1"/>
  <c r="H1124" i="20"/>
  <c r="I1124" i="20" s="1"/>
  <c r="H1101" i="20"/>
  <c r="I1101" i="20" s="1"/>
  <c r="H1122" i="20"/>
  <c r="I1122" i="20" s="1"/>
  <c r="H1137" i="20"/>
  <c r="I1137" i="20" s="1"/>
  <c r="H1135" i="20"/>
  <c r="I1135" i="20" s="1"/>
  <c r="H1092" i="20"/>
  <c r="I1092" i="20" s="1"/>
  <c r="H1107" i="20"/>
  <c r="I1107" i="20" s="1"/>
  <c r="H1138" i="20"/>
  <c r="I1138" i="20" s="1"/>
  <c r="H1100" i="20"/>
  <c r="I1100" i="20" s="1"/>
  <c r="H1115" i="20"/>
  <c r="I1115" i="20" s="1"/>
  <c r="H1141" i="20"/>
  <c r="I1141" i="20" s="1"/>
  <c r="H1086" i="20"/>
  <c r="I1086" i="20" s="1"/>
  <c r="H1139" i="20"/>
  <c r="I1139" i="20" s="1"/>
  <c r="H1121" i="20"/>
  <c r="I1121" i="20" s="1"/>
  <c r="H1113" i="20"/>
  <c r="I1113" i="20" s="1"/>
  <c r="H1091" i="20"/>
  <c r="I1091" i="20" s="1"/>
  <c r="H1112" i="20"/>
  <c r="I1112" i="20" s="1"/>
  <c r="H1089" i="20"/>
  <c r="I1089" i="20" s="1"/>
  <c r="H1082" i="20"/>
  <c r="H1084" i="20"/>
  <c r="I1084" i="20" s="1"/>
  <c r="H1083" i="20"/>
  <c r="I1083" i="20" s="1"/>
  <c r="H1098" i="20"/>
  <c r="I1098" i="20" s="1"/>
  <c r="H1085" i="20"/>
  <c r="H1114" i="20"/>
  <c r="I1114" i="20" s="1"/>
  <c r="H1127" i="20"/>
  <c r="I1127" i="20" s="1"/>
  <c r="H1099" i="20"/>
  <c r="I1099" i="20" s="1"/>
  <c r="H1105" i="20"/>
  <c r="I1105" i="20" s="1"/>
  <c r="H1116" i="20"/>
  <c r="I1116" i="20" s="1"/>
  <c r="H1131" i="20"/>
  <c r="I1131" i="20" s="1"/>
  <c r="H1095" i="20"/>
  <c r="I1095" i="20" s="1"/>
  <c r="H1133" i="20"/>
  <c r="I1133" i="20" s="1"/>
  <c r="H1110" i="20"/>
  <c r="I1110" i="20" s="1"/>
  <c r="H1096" i="20"/>
  <c r="I1096" i="20" s="1"/>
  <c r="H1140" i="20"/>
  <c r="I1140" i="20" s="1"/>
  <c r="H1090" i="20"/>
  <c r="I1090" i="20" s="1"/>
  <c r="H1108" i="20"/>
  <c r="I1108" i="20" s="1"/>
  <c r="H1128" i="20"/>
  <c r="I1128" i="20" s="1"/>
  <c r="H1094" i="20"/>
  <c r="I1094" i="20" s="1"/>
  <c r="H1119" i="20"/>
  <c r="I1119" i="20" s="1"/>
  <c r="H1134" i="20"/>
  <c r="I1134" i="20" s="1"/>
  <c r="H1123" i="20"/>
  <c r="I1123" i="20" s="1"/>
  <c r="H1118" i="20"/>
  <c r="I1118" i="20" s="1"/>
  <c r="H1087" i="20"/>
  <c r="I1087" i="20" s="1"/>
  <c r="H1125" i="20"/>
  <c r="I1125" i="20" s="1"/>
  <c r="H1103" i="20"/>
  <c r="I1103" i="20" s="1"/>
  <c r="H1111" i="20"/>
  <c r="I1111" i="20" s="1"/>
  <c r="H1129" i="20"/>
  <c r="I1129" i="20" s="1"/>
  <c r="H1117" i="20"/>
  <c r="I1117" i="20" s="1"/>
  <c r="H1088" i="20"/>
  <c r="I1088" i="20" s="1"/>
  <c r="H1102" i="20"/>
  <c r="I1102" i="20" s="1"/>
  <c r="H1120" i="20"/>
  <c r="I1120" i="20" s="1"/>
  <c r="H1136" i="20"/>
  <c r="I1136" i="20" s="1"/>
  <c r="H1126" i="20"/>
  <c r="I1126" i="20" s="1"/>
  <c r="H1093" i="20"/>
  <c r="I1093" i="20" s="1"/>
  <c r="I798" i="13"/>
  <c r="I806" i="13"/>
  <c r="J806" i="13" s="1"/>
  <c r="I817" i="13"/>
  <c r="J817" i="13" s="1"/>
  <c r="I827" i="13"/>
  <c r="J827" i="13" s="1"/>
  <c r="I824" i="13"/>
  <c r="J824" i="13" s="1"/>
  <c r="I835" i="13"/>
  <c r="J835" i="13" s="1"/>
  <c r="I846" i="13"/>
  <c r="J846" i="13" s="1"/>
  <c r="I805" i="13"/>
  <c r="I797" i="13"/>
  <c r="I814" i="13"/>
  <c r="J814" i="13" s="1"/>
  <c r="I825" i="13"/>
  <c r="J825" i="13" s="1"/>
  <c r="I834" i="13"/>
  <c r="J834" i="13" s="1"/>
  <c r="I811" i="13"/>
  <c r="J811" i="13" s="1"/>
  <c r="I852" i="13"/>
  <c r="J852" i="13" s="1"/>
  <c r="I826" i="13"/>
  <c r="J826" i="13" s="1"/>
  <c r="I823" i="13"/>
  <c r="J823" i="13" s="1"/>
  <c r="I812" i="13"/>
  <c r="J812" i="13" s="1"/>
  <c r="I830" i="13"/>
  <c r="J830" i="13" s="1"/>
  <c r="I841" i="13"/>
  <c r="J841" i="13" s="1"/>
  <c r="I847" i="13"/>
  <c r="J847" i="13" s="1"/>
  <c r="I848" i="13"/>
  <c r="J848" i="13" s="1"/>
  <c r="I801" i="13"/>
  <c r="I807" i="13"/>
  <c r="J807" i="13" s="1"/>
  <c r="I804" i="13"/>
  <c r="I828" i="13"/>
  <c r="J828" i="13" s="1"/>
  <c r="I816" i="13"/>
  <c r="J816" i="13" s="1"/>
  <c r="I818" i="13"/>
  <c r="J818" i="13" s="1"/>
  <c r="I802" i="13"/>
  <c r="I819" i="13"/>
  <c r="J819" i="13" s="1"/>
  <c r="I796" i="13"/>
  <c r="I803" i="13"/>
  <c r="I822" i="13"/>
  <c r="J822" i="13" s="1"/>
  <c r="I849" i="13"/>
  <c r="J849" i="13" s="1"/>
  <c r="I837" i="13"/>
  <c r="J837" i="13" s="1"/>
  <c r="I831" i="13"/>
  <c r="J831" i="13" s="1"/>
  <c r="I800" i="13"/>
  <c r="I829" i="13"/>
  <c r="J829" i="13" s="1"/>
  <c r="I842" i="13"/>
  <c r="J842" i="13" s="1"/>
  <c r="I843" i="13"/>
  <c r="J843" i="13" s="1"/>
  <c r="I808" i="13"/>
  <c r="J808" i="13" s="1"/>
  <c r="I839" i="13"/>
  <c r="J839" i="13" s="1"/>
  <c r="I810" i="13"/>
  <c r="J810" i="13" s="1"/>
  <c r="I820" i="13"/>
  <c r="J820" i="13" s="1"/>
  <c r="I851" i="13"/>
  <c r="J851" i="13" s="1"/>
  <c r="I845" i="13"/>
  <c r="J845" i="13" s="1"/>
  <c r="I815" i="13"/>
  <c r="J815" i="13" s="1"/>
  <c r="I853" i="13"/>
  <c r="J853" i="13" s="1"/>
  <c r="I844" i="13"/>
  <c r="J844" i="13" s="1"/>
  <c r="I795" i="13"/>
  <c r="I832" i="13"/>
  <c r="J832" i="13" s="1"/>
  <c r="I836" i="13"/>
  <c r="J836" i="13" s="1"/>
  <c r="I838" i="13"/>
  <c r="J838" i="13" s="1"/>
  <c r="I833" i="13"/>
  <c r="J833" i="13" s="1"/>
  <c r="I799" i="13"/>
  <c r="I854" i="13"/>
  <c r="J854" i="13" s="1"/>
  <c r="I840" i="13"/>
  <c r="J840" i="13" s="1"/>
  <c r="I821" i="13"/>
  <c r="J821" i="13" s="1"/>
  <c r="I813" i="13"/>
  <c r="J813" i="13" s="1"/>
  <c r="I850" i="13"/>
  <c r="J850" i="13" s="1"/>
  <c r="I809" i="13"/>
  <c r="J809" i="13" s="1"/>
  <c r="M1578" i="13"/>
  <c r="M1558" i="13"/>
  <c r="M1559" i="13" s="1"/>
  <c r="I1883" i="13"/>
  <c r="J1883" i="13" s="1"/>
  <c r="I1829" i="13"/>
  <c r="I1836" i="13"/>
  <c r="I1857" i="13"/>
  <c r="J1857" i="13" s="1"/>
  <c r="I1865" i="13"/>
  <c r="J1865" i="13" s="1"/>
  <c r="I1852" i="13"/>
  <c r="J1852" i="13" s="1"/>
  <c r="I1854" i="13"/>
  <c r="J1854" i="13" s="1"/>
  <c r="I1869" i="13"/>
  <c r="J1869" i="13" s="1"/>
  <c r="I1878" i="13"/>
  <c r="J1878" i="13" s="1"/>
  <c r="I1830" i="13"/>
  <c r="I1828" i="13"/>
  <c r="I1862" i="13"/>
  <c r="J1862" i="13" s="1"/>
  <c r="I1842" i="13"/>
  <c r="J1842" i="13" s="1"/>
  <c r="I1880" i="13"/>
  <c r="J1880" i="13" s="1"/>
  <c r="I1846" i="13"/>
  <c r="J1846" i="13" s="1"/>
  <c r="I1848" i="13"/>
  <c r="J1848" i="13" s="1"/>
  <c r="I1886" i="13"/>
  <c r="J1886" i="13" s="1"/>
  <c r="I1871" i="13"/>
  <c r="J1871" i="13" s="1"/>
  <c r="I1877" i="13"/>
  <c r="J1877" i="13" s="1"/>
  <c r="I1858" i="13"/>
  <c r="J1858" i="13" s="1"/>
  <c r="I1849" i="13"/>
  <c r="J1849" i="13" s="1"/>
  <c r="I1860" i="13"/>
  <c r="J1860" i="13" s="1"/>
  <c r="I1873" i="13"/>
  <c r="J1873" i="13" s="1"/>
  <c r="I1831" i="13"/>
  <c r="I1879" i="13"/>
  <c r="J1879" i="13" s="1"/>
  <c r="I1866" i="13"/>
  <c r="J1866" i="13" s="1"/>
  <c r="I1845" i="13"/>
  <c r="J1845" i="13" s="1"/>
  <c r="I1855" i="13"/>
  <c r="J1855" i="13" s="1"/>
  <c r="I1844" i="13"/>
  <c r="J1844" i="13" s="1"/>
  <c r="I1839" i="13"/>
  <c r="J1839" i="13" s="1"/>
  <c r="I1875" i="13"/>
  <c r="J1875" i="13" s="1"/>
  <c r="I1859" i="13"/>
  <c r="J1859" i="13" s="1"/>
  <c r="I1867" i="13"/>
  <c r="J1867" i="13" s="1"/>
  <c r="I1835" i="13"/>
  <c r="I1881" i="13"/>
  <c r="J1881" i="13" s="1"/>
  <c r="I1838" i="13"/>
  <c r="J1838" i="13" s="1"/>
  <c r="I1837" i="13"/>
  <c r="J1837" i="13" s="1"/>
  <c r="I1884" i="13"/>
  <c r="J1884" i="13" s="1"/>
  <c r="I1885" i="13"/>
  <c r="J1885" i="13" s="1"/>
  <c r="I1882" i="13"/>
  <c r="J1882" i="13" s="1"/>
  <c r="I1853" i="13"/>
  <c r="J1853" i="13" s="1"/>
  <c r="I1847" i="13"/>
  <c r="J1847" i="13" s="1"/>
  <c r="I1861" i="13"/>
  <c r="J1861" i="13" s="1"/>
  <c r="I1827" i="13"/>
  <c r="I1874" i="13"/>
  <c r="J1874" i="13" s="1"/>
  <c r="I1843" i="13"/>
  <c r="J1843" i="13" s="1"/>
  <c r="I1851" i="13"/>
  <c r="J1851" i="13" s="1"/>
  <c r="I1833" i="13"/>
  <c r="I1876" i="13"/>
  <c r="J1876" i="13" s="1"/>
  <c r="I1850" i="13"/>
  <c r="J1850" i="13" s="1"/>
  <c r="I1868" i="13"/>
  <c r="J1868" i="13" s="1"/>
  <c r="I1864" i="13"/>
  <c r="J1864" i="13" s="1"/>
  <c r="I1872" i="13"/>
  <c r="J1872" i="13" s="1"/>
  <c r="I1834" i="13"/>
  <c r="I1841" i="13"/>
  <c r="J1841" i="13" s="1"/>
  <c r="I1840" i="13"/>
  <c r="J1840" i="13" s="1"/>
  <c r="I1870" i="13"/>
  <c r="J1870" i="13" s="1"/>
  <c r="I1863" i="13"/>
  <c r="J1863" i="13" s="1"/>
  <c r="I1856" i="13"/>
  <c r="J1856" i="13" s="1"/>
  <c r="I1832" i="13"/>
  <c r="G519" i="20"/>
  <c r="M696" i="13"/>
  <c r="M697" i="13" s="1"/>
  <c r="M718" i="13"/>
  <c r="G1765" i="20"/>
  <c r="H855" i="13"/>
  <c r="M795" i="13"/>
  <c r="M784" i="13"/>
  <c r="M785" i="13" s="1"/>
  <c r="M804" i="13"/>
  <c r="I108" i="13"/>
  <c r="I120" i="13"/>
  <c r="J120" i="13" s="1"/>
  <c r="I133" i="13"/>
  <c r="J133" i="13" s="1"/>
  <c r="I146" i="13"/>
  <c r="J146" i="13" s="1"/>
  <c r="I153" i="13"/>
  <c r="J153" i="13" s="1"/>
  <c r="I125" i="13"/>
  <c r="J125" i="13" s="1"/>
  <c r="I134" i="13"/>
  <c r="J134" i="13" s="1"/>
  <c r="I152" i="13"/>
  <c r="J152" i="13" s="1"/>
  <c r="I114" i="13"/>
  <c r="I126" i="13"/>
  <c r="J126" i="13" s="1"/>
  <c r="I102" i="13"/>
  <c r="I112" i="13"/>
  <c r="I161" i="13"/>
  <c r="J161" i="13" s="1"/>
  <c r="I145" i="13"/>
  <c r="J145" i="13" s="1"/>
  <c r="I155" i="13"/>
  <c r="J155" i="13" s="1"/>
  <c r="I116" i="13"/>
  <c r="I128" i="13"/>
  <c r="J128" i="13" s="1"/>
  <c r="I135" i="13"/>
  <c r="J135" i="13" s="1"/>
  <c r="I118" i="13"/>
  <c r="I129" i="13"/>
  <c r="J129" i="13" s="1"/>
  <c r="I121" i="13"/>
  <c r="J121" i="13" s="1"/>
  <c r="I107" i="13"/>
  <c r="I113" i="13"/>
  <c r="I157" i="13"/>
  <c r="J157" i="13" s="1"/>
  <c r="I149" i="13"/>
  <c r="J149" i="13" s="1"/>
  <c r="I139" i="13"/>
  <c r="J139" i="13" s="1"/>
  <c r="I147" i="13"/>
  <c r="J147" i="13" s="1"/>
  <c r="I127" i="13"/>
  <c r="J127" i="13" s="1"/>
  <c r="I142" i="13"/>
  <c r="J142" i="13" s="1"/>
  <c r="I144" i="13"/>
  <c r="J144" i="13" s="1"/>
  <c r="I156" i="13"/>
  <c r="J156" i="13" s="1"/>
  <c r="I123" i="13"/>
  <c r="J123" i="13" s="1"/>
  <c r="I105" i="13"/>
  <c r="I151" i="13"/>
  <c r="J151" i="13" s="1"/>
  <c r="I136" i="13"/>
  <c r="J136" i="13" s="1"/>
  <c r="I110" i="13"/>
  <c r="I138" i="13"/>
  <c r="J138" i="13" s="1"/>
  <c r="I150" i="13"/>
  <c r="J150" i="13" s="1"/>
  <c r="I115" i="13"/>
  <c r="I103" i="13"/>
  <c r="I111" i="13"/>
  <c r="I132" i="13"/>
  <c r="J132" i="13" s="1"/>
  <c r="I159" i="13"/>
  <c r="J159" i="13" s="1"/>
  <c r="I158" i="13"/>
  <c r="J158" i="13" s="1"/>
  <c r="I154" i="13"/>
  <c r="J154" i="13" s="1"/>
  <c r="I137" i="13"/>
  <c r="J137" i="13" s="1"/>
  <c r="I141" i="13"/>
  <c r="J141" i="13" s="1"/>
  <c r="I143" i="13"/>
  <c r="J143" i="13" s="1"/>
  <c r="I160" i="13"/>
  <c r="J160" i="13" s="1"/>
  <c r="I104" i="13"/>
  <c r="I109" i="13"/>
  <c r="I117" i="13"/>
  <c r="I122" i="13"/>
  <c r="J122" i="13" s="1"/>
  <c r="I106" i="13"/>
  <c r="I130" i="13"/>
  <c r="J130" i="13" s="1"/>
  <c r="I124" i="13"/>
  <c r="J124" i="13" s="1"/>
  <c r="I148" i="13"/>
  <c r="J148" i="13" s="1"/>
  <c r="I131" i="13"/>
  <c r="J131" i="13" s="1"/>
  <c r="I140" i="13"/>
  <c r="J140" i="13" s="1"/>
  <c r="I119" i="13"/>
  <c r="J119" i="13" s="1"/>
  <c r="H127" i="20"/>
  <c r="I127" i="20" s="1"/>
  <c r="H146" i="20"/>
  <c r="I146" i="20" s="1"/>
  <c r="H151" i="20"/>
  <c r="I151" i="20" s="1"/>
  <c r="H123" i="20"/>
  <c r="I123" i="20" s="1"/>
  <c r="H117" i="20"/>
  <c r="I117" i="20" s="1"/>
  <c r="H128" i="20"/>
  <c r="I128" i="20" s="1"/>
  <c r="H106" i="20"/>
  <c r="I106" i="20" s="1"/>
  <c r="H140" i="20"/>
  <c r="I140" i="20" s="1"/>
  <c r="H105" i="20"/>
  <c r="I105" i="20" s="1"/>
  <c r="H152" i="20"/>
  <c r="I152" i="20" s="1"/>
  <c r="H154" i="20"/>
  <c r="I154" i="20" s="1"/>
  <c r="H101" i="20"/>
  <c r="I101" i="20" s="1"/>
  <c r="H150" i="20"/>
  <c r="I150" i="20" s="1"/>
  <c r="H133" i="20"/>
  <c r="I133" i="20" s="1"/>
  <c r="H114" i="20"/>
  <c r="I114" i="20" s="1"/>
  <c r="H102" i="20"/>
  <c r="I102" i="20" s="1"/>
  <c r="H107" i="20"/>
  <c r="I107" i="20" s="1"/>
  <c r="H126" i="20"/>
  <c r="I126" i="20" s="1"/>
  <c r="H159" i="20"/>
  <c r="I159" i="20" s="1"/>
  <c r="H141" i="20"/>
  <c r="I141" i="20" s="1"/>
  <c r="H122" i="20"/>
  <c r="I122" i="20" s="1"/>
  <c r="H119" i="20"/>
  <c r="I119" i="20" s="1"/>
  <c r="H110" i="20"/>
  <c r="I110" i="20" s="1"/>
  <c r="H112" i="20"/>
  <c r="I112" i="20" s="1"/>
  <c r="H104" i="20"/>
  <c r="I104" i="20" s="1"/>
  <c r="H147" i="20"/>
  <c r="H136" i="20"/>
  <c r="I136" i="20" s="1"/>
  <c r="H129" i="20"/>
  <c r="I129" i="20" s="1"/>
  <c r="H134" i="20"/>
  <c r="I134" i="20" s="1"/>
  <c r="H137" i="20"/>
  <c r="I137" i="20" s="1"/>
  <c r="H143" i="20"/>
  <c r="I143" i="20" s="1"/>
  <c r="H156" i="20"/>
  <c r="I156" i="20" s="1"/>
  <c r="H153" i="20"/>
  <c r="I153" i="20" s="1"/>
  <c r="H132" i="20"/>
  <c r="I132" i="20" s="1"/>
  <c r="H100" i="20"/>
  <c r="H120" i="20"/>
  <c r="I120" i="20" s="1"/>
  <c r="H118" i="20"/>
  <c r="I118" i="20" s="1"/>
  <c r="H103" i="20"/>
  <c r="I103" i="20" s="1"/>
  <c r="H138" i="20"/>
  <c r="I138" i="20" s="1"/>
  <c r="H121" i="20"/>
  <c r="I121" i="20" s="1"/>
  <c r="H131" i="20"/>
  <c r="I131" i="20" s="1"/>
  <c r="H155" i="20"/>
  <c r="I155" i="20" s="1"/>
  <c r="H149" i="20"/>
  <c r="I149" i="20" s="1"/>
  <c r="H113" i="20"/>
  <c r="I113" i="20" s="1"/>
  <c r="H145" i="20"/>
  <c r="I145" i="20" s="1"/>
  <c r="H115" i="20"/>
  <c r="I115" i="20" s="1"/>
  <c r="H108" i="20"/>
  <c r="I108" i="20" s="1"/>
  <c r="H135" i="20"/>
  <c r="I135" i="20" s="1"/>
  <c r="H157" i="20"/>
  <c r="I157" i="20" s="1"/>
  <c r="H144" i="20"/>
  <c r="I144" i="20" s="1"/>
  <c r="H130" i="20"/>
  <c r="I130" i="20" s="1"/>
  <c r="H116" i="20"/>
  <c r="I116" i="20" s="1"/>
  <c r="H142" i="20"/>
  <c r="I142" i="20" s="1"/>
  <c r="H125" i="20"/>
  <c r="I125" i="20" s="1"/>
  <c r="H111" i="20"/>
  <c r="I111" i="20" s="1"/>
  <c r="H148" i="20"/>
  <c r="I148" i="20" s="1"/>
  <c r="H139" i="20"/>
  <c r="I139" i="20" s="1"/>
  <c r="H109" i="20"/>
  <c r="H124" i="20"/>
  <c r="I124" i="20" s="1"/>
  <c r="H158" i="20"/>
  <c r="I158" i="20" s="1"/>
  <c r="H332" i="20"/>
  <c r="I332" i="20" s="1"/>
  <c r="H304" i="20"/>
  <c r="I304" i="20" s="1"/>
  <c r="H325" i="20"/>
  <c r="I325" i="20" s="1"/>
  <c r="H285" i="20"/>
  <c r="H306" i="20"/>
  <c r="I306" i="20" s="1"/>
  <c r="H309" i="20"/>
  <c r="I309" i="20" s="1"/>
  <c r="H330" i="20"/>
  <c r="I330" i="20" s="1"/>
  <c r="H280" i="20"/>
  <c r="H321" i="20"/>
  <c r="I321" i="20" s="1"/>
  <c r="H302" i="20"/>
  <c r="I302" i="20" s="1"/>
  <c r="H329" i="20"/>
  <c r="I329" i="20" s="1"/>
  <c r="H295" i="20"/>
  <c r="I295" i="20" s="1"/>
  <c r="H298" i="20"/>
  <c r="I298" i="20" s="1"/>
  <c r="H320" i="20"/>
  <c r="I320" i="20" s="1"/>
  <c r="H305" i="20"/>
  <c r="I305" i="20" s="1"/>
  <c r="H287" i="20"/>
  <c r="I287" i="20" s="1"/>
  <c r="H335" i="20"/>
  <c r="I335" i="20" s="1"/>
  <c r="H297" i="20"/>
  <c r="I297" i="20" s="1"/>
  <c r="H288" i="20"/>
  <c r="I288" i="20" s="1"/>
  <c r="H323" i="20"/>
  <c r="I323" i="20" s="1"/>
  <c r="H284" i="20"/>
  <c r="I284" i="20" s="1"/>
  <c r="H314" i="20"/>
  <c r="I314" i="20" s="1"/>
  <c r="H331" i="20"/>
  <c r="I331" i="20" s="1"/>
  <c r="H300" i="20"/>
  <c r="I300" i="20" s="1"/>
  <c r="H294" i="20"/>
  <c r="I294" i="20" s="1"/>
  <c r="H324" i="20"/>
  <c r="I324" i="20" s="1"/>
  <c r="H326" i="20"/>
  <c r="I326" i="20" s="1"/>
  <c r="H303" i="20"/>
  <c r="I303" i="20" s="1"/>
  <c r="H311" i="20"/>
  <c r="I311" i="20" s="1"/>
  <c r="H289" i="20"/>
  <c r="I289" i="20" s="1"/>
  <c r="H292" i="20"/>
  <c r="I292" i="20" s="1"/>
  <c r="H312" i="20"/>
  <c r="I312" i="20" s="1"/>
  <c r="H337" i="20"/>
  <c r="I337" i="20" s="1"/>
  <c r="H318" i="20"/>
  <c r="I318" i="20" s="1"/>
  <c r="H339" i="20"/>
  <c r="I339" i="20" s="1"/>
  <c r="H291" i="20"/>
  <c r="I291" i="20" s="1"/>
  <c r="H307" i="20"/>
  <c r="I307" i="20" s="1"/>
  <c r="H313" i="20"/>
  <c r="I313" i="20" s="1"/>
  <c r="H327" i="20"/>
  <c r="I327" i="20" s="1"/>
  <c r="H315" i="20"/>
  <c r="I315" i="20" s="1"/>
  <c r="H333" i="20"/>
  <c r="I333" i="20" s="1"/>
  <c r="H319" i="20"/>
  <c r="I319" i="20" s="1"/>
  <c r="H328" i="20"/>
  <c r="I328" i="20" s="1"/>
  <c r="H282" i="20"/>
  <c r="I282" i="20" s="1"/>
  <c r="H281" i="20"/>
  <c r="I281" i="20" s="1"/>
  <c r="H301" i="20"/>
  <c r="I301" i="20" s="1"/>
  <c r="H283" i="20"/>
  <c r="I283" i="20" s="1"/>
  <c r="H336" i="20"/>
  <c r="I336" i="20" s="1"/>
  <c r="H338" i="20"/>
  <c r="I338" i="20" s="1"/>
  <c r="H310" i="20"/>
  <c r="I310" i="20" s="1"/>
  <c r="H322" i="20"/>
  <c r="I322" i="20" s="1"/>
  <c r="H334" i="20"/>
  <c r="I334" i="20" s="1"/>
  <c r="H290" i="20"/>
  <c r="I290" i="20" s="1"/>
  <c r="H316" i="20"/>
  <c r="I316" i="20" s="1"/>
  <c r="H308" i="20"/>
  <c r="I308" i="20" s="1"/>
  <c r="H317" i="20"/>
  <c r="I317" i="20" s="1"/>
  <c r="H296" i="20"/>
  <c r="I296" i="20" s="1"/>
  <c r="H299" i="20"/>
  <c r="I299" i="20" s="1"/>
  <c r="H293" i="20"/>
  <c r="I293" i="20" s="1"/>
  <c r="H286" i="20"/>
  <c r="I286" i="20" s="1"/>
  <c r="M458" i="13"/>
  <c r="M436" i="13"/>
  <c r="M437" i="13" s="1"/>
  <c r="I1450" i="13"/>
  <c r="J1450" i="13" s="1"/>
  <c r="I1416" i="13"/>
  <c r="J1416" i="13" s="1"/>
  <c r="I1413" i="13"/>
  <c r="J1413" i="13" s="1"/>
  <c r="I1455" i="13"/>
  <c r="J1455" i="13" s="1"/>
  <c r="I1411" i="13"/>
  <c r="J1411" i="13" s="1"/>
  <c r="I1431" i="13"/>
  <c r="J1431" i="13" s="1"/>
  <c r="I1412" i="13"/>
  <c r="J1412" i="13" s="1"/>
  <c r="I1421" i="13"/>
  <c r="J1421" i="13" s="1"/>
  <c r="I1423" i="13"/>
  <c r="J1423" i="13" s="1"/>
  <c r="I1443" i="13"/>
  <c r="J1443" i="13" s="1"/>
  <c r="I1428" i="13"/>
  <c r="J1428" i="13" s="1"/>
  <c r="I1408" i="13"/>
  <c r="J1408" i="13" s="1"/>
  <c r="I1406" i="13"/>
  <c r="I1427" i="13"/>
  <c r="J1427" i="13" s="1"/>
  <c r="I1437" i="13"/>
  <c r="J1437" i="13" s="1"/>
  <c r="I1439" i="13"/>
  <c r="J1439" i="13" s="1"/>
  <c r="I1397" i="13"/>
  <c r="I1432" i="13"/>
  <c r="J1432" i="13" s="1"/>
  <c r="I1438" i="13"/>
  <c r="J1438" i="13" s="1"/>
  <c r="I1435" i="13"/>
  <c r="J1435" i="13" s="1"/>
  <c r="I1426" i="13"/>
  <c r="J1426" i="13" s="1"/>
  <c r="I1445" i="13"/>
  <c r="J1445" i="13" s="1"/>
  <c r="I1447" i="13"/>
  <c r="J1447" i="13" s="1"/>
  <c r="I1403" i="13"/>
  <c r="I1414" i="13"/>
  <c r="J1414" i="13" s="1"/>
  <c r="I1429" i="13"/>
  <c r="J1429" i="13" s="1"/>
  <c r="I1407" i="13"/>
  <c r="I1436" i="13"/>
  <c r="J1436" i="13" s="1"/>
  <c r="I1454" i="13"/>
  <c r="J1454" i="13" s="1"/>
  <c r="I1410" i="13"/>
  <c r="J1410" i="13" s="1"/>
  <c r="I1446" i="13"/>
  <c r="J1446" i="13" s="1"/>
  <c r="I1448" i="13"/>
  <c r="J1448" i="13" s="1"/>
  <c r="I1453" i="13"/>
  <c r="J1453" i="13" s="1"/>
  <c r="I1402" i="13"/>
  <c r="I1405" i="13"/>
  <c r="I1422" i="13"/>
  <c r="J1422" i="13" s="1"/>
  <c r="I1420" i="13"/>
  <c r="J1420" i="13" s="1"/>
  <c r="I1452" i="13"/>
  <c r="J1452" i="13" s="1"/>
  <c r="I1400" i="13"/>
  <c r="J1400" i="13" s="1"/>
  <c r="I1433" i="13"/>
  <c r="J1433" i="13" s="1"/>
  <c r="I1401" i="13"/>
  <c r="I1399" i="13"/>
  <c r="I1442" i="13"/>
  <c r="J1442" i="13" s="1"/>
  <c r="I1404" i="13"/>
  <c r="I1417" i="13"/>
  <c r="J1417" i="13" s="1"/>
  <c r="I1418" i="13"/>
  <c r="J1418" i="13" s="1"/>
  <c r="I1449" i="13"/>
  <c r="J1449" i="13" s="1"/>
  <c r="I1419" i="13"/>
  <c r="J1419" i="13" s="1"/>
  <c r="I1409" i="13"/>
  <c r="J1409" i="13" s="1"/>
  <c r="I1434" i="13"/>
  <c r="J1434" i="13" s="1"/>
  <c r="I1441" i="13"/>
  <c r="J1441" i="13" s="1"/>
  <c r="I1440" i="13"/>
  <c r="J1440" i="13" s="1"/>
  <c r="I1415" i="13"/>
  <c r="J1415" i="13" s="1"/>
  <c r="I1456" i="13"/>
  <c r="J1456" i="13" s="1"/>
  <c r="I1398" i="13"/>
  <c r="J1398" i="13" s="1"/>
  <c r="I1451" i="13"/>
  <c r="J1451" i="13" s="1"/>
  <c r="I1425" i="13"/>
  <c r="J1425" i="13" s="1"/>
  <c r="I1444" i="13"/>
  <c r="J1444" i="13" s="1"/>
  <c r="I1424" i="13"/>
  <c r="J1424" i="13" s="1"/>
  <c r="I1430" i="13"/>
  <c r="J1430" i="13" s="1"/>
  <c r="M286" i="13"/>
  <c r="M264" i="13"/>
  <c r="M265" i="13" s="1"/>
  <c r="H1024" i="20"/>
  <c r="I1024" i="20" s="1"/>
  <c r="H1036" i="20"/>
  <c r="I1036" i="20" s="1"/>
  <c r="H1015" i="20"/>
  <c r="I1015" i="20" s="1"/>
  <c r="H1014" i="20"/>
  <c r="I1014" i="20" s="1"/>
  <c r="H994" i="20"/>
  <c r="I994" i="20" s="1"/>
  <c r="H999" i="20"/>
  <c r="I999" i="20" s="1"/>
  <c r="H1003" i="20"/>
  <c r="I1003" i="20" s="1"/>
  <c r="H1006" i="20"/>
  <c r="I1006" i="20" s="1"/>
  <c r="H1043" i="20"/>
  <c r="I1043" i="20" s="1"/>
  <c r="H1048" i="20"/>
  <c r="I1048" i="20" s="1"/>
  <c r="H1008" i="20"/>
  <c r="I1008" i="20" s="1"/>
  <c r="H998" i="20"/>
  <c r="I998" i="20" s="1"/>
  <c r="H1049" i="20"/>
  <c r="I1049" i="20" s="1"/>
  <c r="H1013" i="20"/>
  <c r="I1013" i="20" s="1"/>
  <c r="H1002" i="20"/>
  <c r="I1002" i="20" s="1"/>
  <c r="H1027" i="20"/>
  <c r="I1027" i="20" s="1"/>
  <c r="H1039" i="20"/>
  <c r="I1039" i="20" s="1"/>
  <c r="H1042" i="20"/>
  <c r="I1042" i="20" s="1"/>
  <c r="H1032" i="20"/>
  <c r="I1032" i="20" s="1"/>
  <c r="H997" i="20"/>
  <c r="H1016" i="20"/>
  <c r="I1016" i="20" s="1"/>
  <c r="H1010" i="20"/>
  <c r="I1010" i="20" s="1"/>
  <c r="H1035" i="20"/>
  <c r="I1035" i="20" s="1"/>
  <c r="H1021" i="20"/>
  <c r="I1021" i="20" s="1"/>
  <c r="H1031" i="20"/>
  <c r="I1031" i="20" s="1"/>
  <c r="H1045" i="20"/>
  <c r="I1045" i="20" s="1"/>
  <c r="H1052" i="20"/>
  <c r="I1052" i="20" s="1"/>
  <c r="H1030" i="20"/>
  <c r="I1030" i="20" s="1"/>
  <c r="H1017" i="20"/>
  <c r="I1017" i="20" s="1"/>
  <c r="H1005" i="20"/>
  <c r="I1005" i="20" s="1"/>
  <c r="H1033" i="20"/>
  <c r="I1033" i="20" s="1"/>
  <c r="H1038" i="20"/>
  <c r="I1038" i="20" s="1"/>
  <c r="H993" i="20"/>
  <c r="H1009" i="20"/>
  <c r="I1009" i="20" s="1"/>
  <c r="H1020" i="20"/>
  <c r="I1020" i="20" s="1"/>
  <c r="H1022" i="20"/>
  <c r="I1022" i="20" s="1"/>
  <c r="H1012" i="20"/>
  <c r="I1012" i="20" s="1"/>
  <c r="H1037" i="20"/>
  <c r="I1037" i="20" s="1"/>
  <c r="H995" i="20"/>
  <c r="I995" i="20" s="1"/>
  <c r="H1011" i="20"/>
  <c r="I1011" i="20" s="1"/>
  <c r="H1018" i="20"/>
  <c r="I1018" i="20" s="1"/>
  <c r="H1040" i="20"/>
  <c r="I1040" i="20" s="1"/>
  <c r="H1041" i="20"/>
  <c r="I1041" i="20" s="1"/>
  <c r="H1046" i="20"/>
  <c r="I1046" i="20" s="1"/>
  <c r="H1001" i="20"/>
  <c r="I1001" i="20" s="1"/>
  <c r="H996" i="20"/>
  <c r="I996" i="20" s="1"/>
  <c r="H1023" i="20"/>
  <c r="I1023" i="20" s="1"/>
  <c r="H1050" i="20"/>
  <c r="I1050" i="20" s="1"/>
  <c r="H1026" i="20"/>
  <c r="I1026" i="20" s="1"/>
  <c r="H1034" i="20"/>
  <c r="I1034" i="20" s="1"/>
  <c r="H1047" i="20"/>
  <c r="I1047" i="20" s="1"/>
  <c r="H1019" i="20"/>
  <c r="I1019" i="20" s="1"/>
  <c r="H1007" i="20"/>
  <c r="I1007" i="20" s="1"/>
  <c r="H1029" i="20"/>
  <c r="I1029" i="20" s="1"/>
  <c r="H1025" i="20"/>
  <c r="I1025" i="20" s="1"/>
  <c r="H1028" i="20"/>
  <c r="I1028" i="20" s="1"/>
  <c r="H1051" i="20"/>
  <c r="I1051" i="20" s="1"/>
  <c r="H1000" i="20"/>
  <c r="I1000" i="20" s="1"/>
  <c r="H1004" i="20"/>
  <c r="I1004" i="20" s="1"/>
  <c r="H1044" i="20"/>
  <c r="I1044" i="20" s="1"/>
  <c r="I1162" i="13"/>
  <c r="J1162" i="13" s="1"/>
  <c r="I1145" i="13"/>
  <c r="I1157" i="13"/>
  <c r="J1157" i="13" s="1"/>
  <c r="I1158" i="13"/>
  <c r="J1158" i="13" s="1"/>
  <c r="I1144" i="13"/>
  <c r="I1160" i="13"/>
  <c r="J1160" i="13" s="1"/>
  <c r="I1161" i="13"/>
  <c r="J1161" i="13" s="1"/>
  <c r="I1168" i="13"/>
  <c r="J1168" i="13" s="1"/>
  <c r="I1170" i="13"/>
  <c r="J1170" i="13" s="1"/>
  <c r="I1143" i="13"/>
  <c r="I1166" i="13"/>
  <c r="J1166" i="13" s="1"/>
  <c r="I1167" i="13"/>
  <c r="J1167" i="13" s="1"/>
  <c r="I1186" i="13"/>
  <c r="J1186" i="13" s="1"/>
  <c r="I1179" i="13"/>
  <c r="J1179" i="13" s="1"/>
  <c r="I1150" i="13"/>
  <c r="J1150" i="13" s="1"/>
  <c r="I1171" i="13"/>
  <c r="J1171" i="13" s="1"/>
  <c r="I1178" i="13"/>
  <c r="J1178" i="13" s="1"/>
  <c r="I1156" i="13"/>
  <c r="J1156" i="13" s="1"/>
  <c r="I1175" i="13"/>
  <c r="J1175" i="13" s="1"/>
  <c r="I1185" i="13"/>
  <c r="J1185" i="13" s="1"/>
  <c r="I1155" i="13"/>
  <c r="J1155" i="13" s="1"/>
  <c r="I1140" i="13"/>
  <c r="I1141" i="13"/>
  <c r="I1176" i="13"/>
  <c r="J1176" i="13" s="1"/>
  <c r="I1164" i="13"/>
  <c r="J1164" i="13" s="1"/>
  <c r="I1165" i="13"/>
  <c r="J1165" i="13" s="1"/>
  <c r="I1193" i="13"/>
  <c r="J1193" i="13" s="1"/>
  <c r="I1184" i="13"/>
  <c r="J1184" i="13" s="1"/>
  <c r="I1152" i="13"/>
  <c r="J1152" i="13" s="1"/>
  <c r="I1189" i="13"/>
  <c r="J1189" i="13" s="1"/>
  <c r="I1192" i="13"/>
  <c r="J1192" i="13" s="1"/>
  <c r="I1173" i="13"/>
  <c r="J1173" i="13" s="1"/>
  <c r="I1195" i="13"/>
  <c r="J1195" i="13" s="1"/>
  <c r="I1153" i="13"/>
  <c r="J1153" i="13" s="1"/>
  <c r="I1181" i="13"/>
  <c r="J1181" i="13" s="1"/>
  <c r="I1172" i="13"/>
  <c r="J1172" i="13" s="1"/>
  <c r="I1148" i="13"/>
  <c r="I1182" i="13"/>
  <c r="J1182" i="13" s="1"/>
  <c r="I1191" i="13"/>
  <c r="J1191" i="13" s="1"/>
  <c r="I1177" i="13"/>
  <c r="J1177" i="13" s="1"/>
  <c r="I1194" i="13"/>
  <c r="J1194" i="13" s="1"/>
  <c r="I1187" i="13"/>
  <c r="J1187" i="13" s="1"/>
  <c r="I1183" i="13"/>
  <c r="J1183" i="13" s="1"/>
  <c r="I1169" i="13"/>
  <c r="J1169" i="13" s="1"/>
  <c r="I1198" i="13"/>
  <c r="J1198" i="13" s="1"/>
  <c r="I1139" i="13"/>
  <c r="I1197" i="13"/>
  <c r="J1197" i="13" s="1"/>
  <c r="I1190" i="13"/>
  <c r="J1190" i="13" s="1"/>
  <c r="I1146" i="13"/>
  <c r="I1159" i="13"/>
  <c r="J1159" i="13" s="1"/>
  <c r="I1174" i="13"/>
  <c r="J1174" i="13" s="1"/>
  <c r="I1151" i="13"/>
  <c r="J1151" i="13" s="1"/>
  <c r="I1180" i="13"/>
  <c r="J1180" i="13" s="1"/>
  <c r="I1163" i="13"/>
  <c r="J1163" i="13" s="1"/>
  <c r="I1196" i="13"/>
  <c r="J1196" i="13" s="1"/>
  <c r="I1142" i="13"/>
  <c r="I1154" i="13"/>
  <c r="J1154" i="13" s="1"/>
  <c r="I1149" i="13"/>
  <c r="I1188" i="13"/>
  <c r="J1188" i="13" s="1"/>
  <c r="I1147" i="13"/>
  <c r="G430" i="20"/>
  <c r="M372" i="13"/>
  <c r="M350" i="13"/>
  <c r="M351" i="13" s="1"/>
  <c r="M1923" i="13"/>
  <c r="M1902" i="13"/>
  <c r="M1903" i="13" s="1"/>
  <c r="I1667" i="13"/>
  <c r="J1667" i="13" s="1"/>
  <c r="I1701" i="13"/>
  <c r="J1701" i="13" s="1"/>
  <c r="I1712" i="13"/>
  <c r="J1712" i="13" s="1"/>
  <c r="I1711" i="13"/>
  <c r="J1711" i="13" s="1"/>
  <c r="I1687" i="13"/>
  <c r="J1687" i="13" s="1"/>
  <c r="I1704" i="13"/>
  <c r="J1704" i="13" s="1"/>
  <c r="I1707" i="13"/>
  <c r="J1707" i="13" s="1"/>
  <c r="I1689" i="13"/>
  <c r="J1689" i="13" s="1"/>
  <c r="I1697" i="13"/>
  <c r="J1697" i="13" s="1"/>
  <c r="I1679" i="13"/>
  <c r="J1679" i="13" s="1"/>
  <c r="I1686" i="13"/>
  <c r="J1686" i="13" s="1"/>
  <c r="I1659" i="13"/>
  <c r="J1659" i="13" s="1"/>
  <c r="I1691" i="13"/>
  <c r="J1691" i="13" s="1"/>
  <c r="I1657" i="13"/>
  <c r="I1666" i="13"/>
  <c r="J1666" i="13" s="1"/>
  <c r="I1699" i="13"/>
  <c r="J1699" i="13" s="1"/>
  <c r="I1695" i="13"/>
  <c r="J1695" i="13" s="1"/>
  <c r="I1664" i="13"/>
  <c r="I1694" i="13"/>
  <c r="J1694" i="13" s="1"/>
  <c r="I1661" i="13"/>
  <c r="J1661" i="13" s="1"/>
  <c r="I1655" i="13"/>
  <c r="I1714" i="13"/>
  <c r="J1714" i="13" s="1"/>
  <c r="I1685" i="13"/>
  <c r="J1685" i="13" s="1"/>
  <c r="I1700" i="13"/>
  <c r="J1700" i="13" s="1"/>
  <c r="I1660" i="13"/>
  <c r="J1660" i="13" s="1"/>
  <c r="I1692" i="13"/>
  <c r="J1692" i="13" s="1"/>
  <c r="I1681" i="13"/>
  <c r="J1681" i="13" s="1"/>
  <c r="I1656" i="13"/>
  <c r="I1668" i="13"/>
  <c r="J1668" i="13" s="1"/>
  <c r="I1696" i="13"/>
  <c r="J1696" i="13" s="1"/>
  <c r="I1708" i="13"/>
  <c r="J1708" i="13" s="1"/>
  <c r="I1706" i="13"/>
  <c r="J1706" i="13" s="1"/>
  <c r="I1705" i="13"/>
  <c r="J1705" i="13" s="1"/>
  <c r="I1678" i="13"/>
  <c r="J1678" i="13" s="1"/>
  <c r="I1703" i="13"/>
  <c r="J1703" i="13" s="1"/>
  <c r="I1688" i="13"/>
  <c r="J1688" i="13" s="1"/>
  <c r="I1662" i="13"/>
  <c r="J1662" i="13" s="1"/>
  <c r="I1672" i="13"/>
  <c r="J1672" i="13" s="1"/>
  <c r="I1710" i="13"/>
  <c r="J1710" i="13" s="1"/>
  <c r="I1677" i="13"/>
  <c r="J1677" i="13" s="1"/>
  <c r="I1693" i="13"/>
  <c r="J1693" i="13" s="1"/>
  <c r="I1702" i="13"/>
  <c r="J1702" i="13" s="1"/>
  <c r="I1663" i="13"/>
  <c r="J1663" i="13" s="1"/>
  <c r="I1698" i="13"/>
  <c r="J1698" i="13" s="1"/>
  <c r="I1665" i="13"/>
  <c r="J1665" i="13" s="1"/>
  <c r="I1676" i="13"/>
  <c r="J1676" i="13" s="1"/>
  <c r="I1674" i="13"/>
  <c r="J1674" i="13" s="1"/>
  <c r="I1684" i="13"/>
  <c r="J1684" i="13" s="1"/>
  <c r="I1709" i="13"/>
  <c r="J1709" i="13" s="1"/>
  <c r="I1671" i="13"/>
  <c r="J1671" i="13" s="1"/>
  <c r="I1670" i="13"/>
  <c r="J1670" i="13" s="1"/>
  <c r="I1713" i="13"/>
  <c r="J1713" i="13" s="1"/>
  <c r="I1682" i="13"/>
  <c r="J1682" i="13" s="1"/>
  <c r="I1658" i="13"/>
  <c r="J1658" i="13" s="1"/>
  <c r="I1669" i="13"/>
  <c r="J1669" i="13" s="1"/>
  <c r="I1683" i="13"/>
  <c r="J1683" i="13" s="1"/>
  <c r="I1680" i="13"/>
  <c r="J1680" i="13" s="1"/>
  <c r="I1673" i="13"/>
  <c r="J1673" i="13" s="1"/>
  <c r="I1690" i="13"/>
  <c r="J1690" i="13" s="1"/>
  <c r="I1675" i="13"/>
  <c r="J1675" i="13" s="1"/>
  <c r="H1707" i="20"/>
  <c r="I1707" i="20" s="1"/>
  <c r="H1730" i="20"/>
  <c r="I1730" i="20" s="1"/>
  <c r="H1743" i="20"/>
  <c r="I1743" i="20" s="1"/>
  <c r="H1736" i="20"/>
  <c r="I1736" i="20" s="1"/>
  <c r="H1751" i="20"/>
  <c r="I1751" i="20" s="1"/>
  <c r="H1726" i="20"/>
  <c r="I1726" i="20" s="1"/>
  <c r="H1722" i="20"/>
  <c r="I1722" i="20" s="1"/>
  <c r="H1724" i="20"/>
  <c r="I1724" i="20" s="1"/>
  <c r="H1732" i="20"/>
  <c r="I1732" i="20" s="1"/>
  <c r="H1759" i="20"/>
  <c r="I1759" i="20" s="1"/>
  <c r="H1747" i="20"/>
  <c r="I1747" i="20" s="1"/>
  <c r="H1744" i="20"/>
  <c r="I1744" i="20" s="1"/>
  <c r="H1755" i="20"/>
  <c r="I1755" i="20" s="1"/>
  <c r="H1712" i="20"/>
  <c r="I1712" i="20" s="1"/>
  <c r="H1742" i="20"/>
  <c r="I1742" i="20" s="1"/>
  <c r="H1737" i="20"/>
  <c r="I1737" i="20" s="1"/>
  <c r="H1716" i="20"/>
  <c r="I1716" i="20" s="1"/>
  <c r="H1764" i="20"/>
  <c r="I1764" i="20" s="1"/>
  <c r="H1721" i="20"/>
  <c r="I1721" i="20" s="1"/>
  <c r="H1749" i="20"/>
  <c r="I1749" i="20" s="1"/>
  <c r="H1735" i="20"/>
  <c r="I1735" i="20" s="1"/>
  <c r="H1746" i="20"/>
  <c r="I1746" i="20" s="1"/>
  <c r="H1761" i="20"/>
  <c r="I1761" i="20" s="1"/>
  <c r="H1709" i="20"/>
  <c r="I1709" i="20" s="1"/>
  <c r="H1725" i="20"/>
  <c r="I1725" i="20" s="1"/>
  <c r="H1745" i="20"/>
  <c r="I1745" i="20" s="1"/>
  <c r="H1753" i="20"/>
  <c r="I1753" i="20" s="1"/>
  <c r="H1705" i="20"/>
  <c r="H1723" i="20"/>
  <c r="I1723" i="20" s="1"/>
  <c r="H1718" i="20"/>
  <c r="I1718" i="20" s="1"/>
  <c r="H1754" i="20"/>
  <c r="I1754" i="20" s="1"/>
  <c r="H1750" i="20"/>
  <c r="I1750" i="20" s="1"/>
  <c r="H1758" i="20"/>
  <c r="I1758" i="20" s="1"/>
  <c r="H1762" i="20"/>
  <c r="I1762" i="20" s="1"/>
  <c r="H1757" i="20"/>
  <c r="I1757" i="20" s="1"/>
  <c r="H1733" i="20"/>
  <c r="I1733" i="20" s="1"/>
  <c r="H1760" i="20"/>
  <c r="I1760" i="20" s="1"/>
  <c r="H1739" i="20"/>
  <c r="I1739" i="20" s="1"/>
  <c r="H1748" i="20"/>
  <c r="I1748" i="20" s="1"/>
  <c r="H1740" i="20"/>
  <c r="I1740" i="20" s="1"/>
  <c r="H1720" i="20"/>
  <c r="I1720" i="20" s="1"/>
  <c r="H1727" i="20"/>
  <c r="I1727" i="20" s="1"/>
  <c r="H1713" i="20"/>
  <c r="I1713" i="20" s="1"/>
  <c r="H1715" i="20"/>
  <c r="I1715" i="20" s="1"/>
  <c r="H1728" i="20"/>
  <c r="I1728" i="20" s="1"/>
  <c r="H1708" i="20"/>
  <c r="H1741" i="20"/>
  <c r="I1741" i="20" s="1"/>
  <c r="H1738" i="20"/>
  <c r="I1738" i="20" s="1"/>
  <c r="H1711" i="20"/>
  <c r="I1711" i="20" s="1"/>
  <c r="H1710" i="20"/>
  <c r="I1710" i="20" s="1"/>
  <c r="H1717" i="20"/>
  <c r="I1717" i="20" s="1"/>
  <c r="H1729" i="20"/>
  <c r="I1729" i="20" s="1"/>
  <c r="H1752" i="20"/>
  <c r="I1752" i="20" s="1"/>
  <c r="H1714" i="20"/>
  <c r="I1714" i="20" s="1"/>
  <c r="H1731" i="20"/>
  <c r="I1731" i="20" s="1"/>
  <c r="H1734" i="20"/>
  <c r="I1734" i="20" s="1"/>
  <c r="H1706" i="20"/>
  <c r="I1706" i="20" s="1"/>
  <c r="H1763" i="20"/>
  <c r="I1763" i="20" s="1"/>
  <c r="H1756" i="20"/>
  <c r="I1756" i="20" s="1"/>
  <c r="H1719" i="20"/>
  <c r="I1719" i="20" s="1"/>
  <c r="M533" i="13"/>
  <c r="H593" i="13"/>
  <c r="H1199" i="13"/>
  <c r="M1139" i="13"/>
  <c r="M1472" i="13"/>
  <c r="M1473" i="13" s="1"/>
  <c r="M1492" i="13"/>
  <c r="H487" i="20"/>
  <c r="I487" i="20" s="1"/>
  <c r="H495" i="20"/>
  <c r="I495" i="20" s="1"/>
  <c r="H485" i="20"/>
  <c r="I485" i="20" s="1"/>
  <c r="H486" i="20"/>
  <c r="I486" i="20" s="1"/>
  <c r="H481" i="20"/>
  <c r="I481" i="20" s="1"/>
  <c r="H479" i="20"/>
  <c r="I479" i="20" s="1"/>
  <c r="H484" i="20"/>
  <c r="I484" i="20" s="1"/>
  <c r="H493" i="20"/>
  <c r="I493" i="20" s="1"/>
  <c r="H474" i="20"/>
  <c r="I474" i="20" s="1"/>
  <c r="H512" i="20"/>
  <c r="I512" i="20" s="1"/>
  <c r="H469" i="20"/>
  <c r="I469" i="20" s="1"/>
  <c r="H473" i="20"/>
  <c r="I473" i="20" s="1"/>
  <c r="H498" i="20"/>
  <c r="I498" i="20" s="1"/>
  <c r="H464" i="20"/>
  <c r="H489" i="20"/>
  <c r="I489" i="20" s="1"/>
  <c r="H488" i="20"/>
  <c r="I488" i="20" s="1"/>
  <c r="H460" i="20"/>
  <c r="I460" i="20" s="1"/>
  <c r="H507" i="20"/>
  <c r="I507" i="20" s="1"/>
  <c r="H482" i="20"/>
  <c r="I482" i="20" s="1"/>
  <c r="H459" i="20"/>
  <c r="H500" i="20"/>
  <c r="I500" i="20" s="1"/>
  <c r="H477" i="20"/>
  <c r="I477" i="20" s="1"/>
  <c r="H499" i="20"/>
  <c r="I499" i="20" s="1"/>
  <c r="H508" i="20"/>
  <c r="I508" i="20" s="1"/>
  <c r="H502" i="20"/>
  <c r="I502" i="20" s="1"/>
  <c r="H505" i="20"/>
  <c r="I505" i="20" s="1"/>
  <c r="H501" i="20"/>
  <c r="I501" i="20" s="1"/>
  <c r="H461" i="20"/>
  <c r="I461" i="20" s="1"/>
  <c r="H490" i="20"/>
  <c r="I490" i="20" s="1"/>
  <c r="H483" i="20"/>
  <c r="I483" i="20" s="1"/>
  <c r="H518" i="20"/>
  <c r="I518" i="20" s="1"/>
  <c r="H497" i="20"/>
  <c r="I497" i="20" s="1"/>
  <c r="H478" i="20"/>
  <c r="I478" i="20" s="1"/>
  <c r="H506" i="20"/>
  <c r="I506" i="20" s="1"/>
  <c r="H480" i="20"/>
  <c r="I480" i="20" s="1"/>
  <c r="H513" i="20"/>
  <c r="I513" i="20" s="1"/>
  <c r="H470" i="20"/>
  <c r="I470" i="20" s="1"/>
  <c r="H510" i="20"/>
  <c r="I510" i="20" s="1"/>
  <c r="H517" i="20"/>
  <c r="I517" i="20" s="1"/>
  <c r="H516" i="20"/>
  <c r="I516" i="20" s="1"/>
  <c r="H504" i="20"/>
  <c r="I504" i="20" s="1"/>
  <c r="H467" i="20"/>
  <c r="I467" i="20" s="1"/>
  <c r="H496" i="20"/>
  <c r="I496" i="20" s="1"/>
  <c r="H491" i="20"/>
  <c r="I491" i="20" s="1"/>
  <c r="H463" i="20"/>
  <c r="I463" i="20" s="1"/>
  <c r="H465" i="20"/>
  <c r="I465" i="20" s="1"/>
  <c r="H515" i="20"/>
  <c r="I515" i="20" s="1"/>
  <c r="H471" i="20"/>
  <c r="I471" i="20" s="1"/>
  <c r="H494" i="20"/>
  <c r="I494" i="20" s="1"/>
  <c r="H475" i="20"/>
  <c r="I475" i="20" s="1"/>
  <c r="H511" i="20"/>
  <c r="I511" i="20" s="1"/>
  <c r="H503" i="20"/>
  <c r="I503" i="20" s="1"/>
  <c r="H466" i="20"/>
  <c r="I466" i="20" s="1"/>
  <c r="H514" i="20"/>
  <c r="I514" i="20" s="1"/>
  <c r="H509" i="20"/>
  <c r="I509" i="20" s="1"/>
  <c r="H472" i="20"/>
  <c r="I472" i="20" s="1"/>
  <c r="H468" i="20"/>
  <c r="I468" i="20" s="1"/>
  <c r="H492" i="20"/>
  <c r="I492" i="20" s="1"/>
  <c r="H476" i="20"/>
  <c r="I476" i="20" s="1"/>
  <c r="H462" i="20"/>
  <c r="I462" i="20" s="1"/>
  <c r="H1801" i="13"/>
  <c r="M1741" i="13"/>
  <c r="I1607" i="13"/>
  <c r="J1607" i="13" s="1"/>
  <c r="I1616" i="13"/>
  <c r="J1616" i="13" s="1"/>
  <c r="I1619" i="13"/>
  <c r="J1619" i="13" s="1"/>
  <c r="I1590" i="13"/>
  <c r="J1590" i="13" s="1"/>
  <c r="I1602" i="13"/>
  <c r="J1602" i="13" s="1"/>
  <c r="I1613" i="13"/>
  <c r="J1613" i="13" s="1"/>
  <c r="I1594" i="13"/>
  <c r="J1594" i="13" s="1"/>
  <c r="I1578" i="13"/>
  <c r="I1574" i="13"/>
  <c r="I1575" i="13"/>
  <c r="I1596" i="13"/>
  <c r="J1596" i="13" s="1"/>
  <c r="I1627" i="13"/>
  <c r="J1627" i="13" s="1"/>
  <c r="I1573" i="13"/>
  <c r="I1604" i="13"/>
  <c r="J1604" i="13" s="1"/>
  <c r="I1615" i="13"/>
  <c r="J1615" i="13" s="1"/>
  <c r="I1628" i="13"/>
  <c r="J1628" i="13" s="1"/>
  <c r="I1625" i="13"/>
  <c r="J1625" i="13" s="1"/>
  <c r="I1572" i="13"/>
  <c r="I1585" i="13"/>
  <c r="J1585" i="13" s="1"/>
  <c r="I1598" i="13"/>
  <c r="J1598" i="13" s="1"/>
  <c r="I1581" i="13"/>
  <c r="J1581" i="13" s="1"/>
  <c r="I1583" i="13"/>
  <c r="J1583" i="13" s="1"/>
  <c r="I1569" i="13"/>
  <c r="I1617" i="13"/>
  <c r="J1617" i="13" s="1"/>
  <c r="I1612" i="13"/>
  <c r="J1612" i="13" s="1"/>
  <c r="I1610" i="13"/>
  <c r="J1610" i="13" s="1"/>
  <c r="I1622" i="13"/>
  <c r="J1622" i="13" s="1"/>
  <c r="I1592" i="13"/>
  <c r="J1592" i="13" s="1"/>
  <c r="I1589" i="13"/>
  <c r="J1589" i="13" s="1"/>
  <c r="I1618" i="13"/>
  <c r="J1618" i="13" s="1"/>
  <c r="I1591" i="13"/>
  <c r="J1591" i="13" s="1"/>
  <c r="I1587" i="13"/>
  <c r="J1587" i="13" s="1"/>
  <c r="I1576" i="13"/>
  <c r="I1623" i="13"/>
  <c r="J1623" i="13" s="1"/>
  <c r="I1614" i="13"/>
  <c r="J1614" i="13" s="1"/>
  <c r="I1584" i="13"/>
  <c r="J1584" i="13" s="1"/>
  <c r="I1626" i="13"/>
  <c r="J1626" i="13" s="1"/>
  <c r="I1597" i="13"/>
  <c r="J1597" i="13" s="1"/>
  <c r="I1593" i="13"/>
  <c r="J1593" i="13" s="1"/>
  <c r="I1570" i="13"/>
  <c r="I1609" i="13"/>
  <c r="J1609" i="13" s="1"/>
  <c r="I1599" i="13"/>
  <c r="J1599" i="13" s="1"/>
  <c r="I1595" i="13"/>
  <c r="J1595" i="13" s="1"/>
  <c r="I1621" i="13"/>
  <c r="J1621" i="13" s="1"/>
  <c r="I1588" i="13"/>
  <c r="J1588" i="13" s="1"/>
  <c r="I1620" i="13"/>
  <c r="J1620" i="13" s="1"/>
  <c r="I1611" i="13"/>
  <c r="J1611" i="13" s="1"/>
  <c r="I1582" i="13"/>
  <c r="J1582" i="13" s="1"/>
  <c r="I1580" i="13"/>
  <c r="J1580" i="13" s="1"/>
  <c r="I1571" i="13"/>
  <c r="I1603" i="13"/>
  <c r="J1603" i="13" s="1"/>
  <c r="I1624" i="13"/>
  <c r="J1624" i="13" s="1"/>
  <c r="I1586" i="13"/>
  <c r="J1586" i="13" s="1"/>
  <c r="I1577" i="13"/>
  <c r="I1600" i="13"/>
  <c r="J1600" i="13" s="1"/>
  <c r="I1579" i="13"/>
  <c r="I1605" i="13"/>
  <c r="J1605" i="13" s="1"/>
  <c r="I1606" i="13"/>
  <c r="J1606" i="13" s="1"/>
  <c r="I1601" i="13"/>
  <c r="J1601" i="13" s="1"/>
  <c r="I1608" i="13"/>
  <c r="J1608" i="13" s="1"/>
  <c r="I2022" i="13"/>
  <c r="J2022" i="13" s="1"/>
  <c r="I2059" i="13"/>
  <c r="J2059" i="13" s="1"/>
  <c r="I2016" i="13"/>
  <c r="J2016" i="13" s="1"/>
  <c r="I2021" i="13"/>
  <c r="J2021" i="13" s="1"/>
  <c r="I2026" i="13"/>
  <c r="J2026" i="13" s="1"/>
  <c r="I2039" i="13"/>
  <c r="J2039" i="13" s="1"/>
  <c r="I2013" i="13"/>
  <c r="J2013" i="13" s="1"/>
  <c r="I2038" i="13"/>
  <c r="J2038" i="13" s="1"/>
  <c r="I2011" i="13"/>
  <c r="J2011" i="13" s="1"/>
  <c r="I2012" i="13"/>
  <c r="J2012" i="13" s="1"/>
  <c r="I2055" i="13"/>
  <c r="J2055" i="13" s="1"/>
  <c r="I2050" i="13"/>
  <c r="J2050" i="13" s="1"/>
  <c r="I2040" i="13"/>
  <c r="J2040" i="13" s="1"/>
  <c r="I2031" i="13"/>
  <c r="J2031" i="13" s="1"/>
  <c r="I2007" i="13"/>
  <c r="J2007" i="13" s="1"/>
  <c r="I2008" i="13"/>
  <c r="J2008" i="13" s="1"/>
  <c r="I2046" i="13"/>
  <c r="J2046" i="13" s="1"/>
  <c r="I2027" i="13"/>
  <c r="J2027" i="13" s="1"/>
  <c r="I2020" i="13"/>
  <c r="J2020" i="13" s="1"/>
  <c r="I2023" i="13"/>
  <c r="J2023" i="13" s="1"/>
  <c r="I2029" i="13"/>
  <c r="J2029" i="13" s="1"/>
  <c r="I2025" i="13"/>
  <c r="J2025" i="13" s="1"/>
  <c r="I2028" i="13"/>
  <c r="J2028" i="13" s="1"/>
  <c r="I2037" i="13"/>
  <c r="J2037" i="13" s="1"/>
  <c r="I2054" i="13"/>
  <c r="J2054" i="13" s="1"/>
  <c r="I2048" i="13"/>
  <c r="J2048" i="13" s="1"/>
  <c r="I2032" i="13"/>
  <c r="J2032" i="13" s="1"/>
  <c r="I2000" i="13"/>
  <c r="I2044" i="13"/>
  <c r="J2044" i="13" s="1"/>
  <c r="I2033" i="13"/>
  <c r="J2033" i="13" s="1"/>
  <c r="I2045" i="13"/>
  <c r="J2045" i="13" s="1"/>
  <c r="I2057" i="13"/>
  <c r="J2057" i="13" s="1"/>
  <c r="I2041" i="13"/>
  <c r="J2041" i="13" s="1"/>
  <c r="I2006" i="13"/>
  <c r="I2042" i="13"/>
  <c r="J2042" i="13" s="1"/>
  <c r="I2004" i="13"/>
  <c r="J2004" i="13" s="1"/>
  <c r="I2009" i="13"/>
  <c r="J2009" i="13" s="1"/>
  <c r="I2003" i="13"/>
  <c r="J2003" i="13" s="1"/>
  <c r="I2035" i="13"/>
  <c r="J2035" i="13" s="1"/>
  <c r="I2053" i="13"/>
  <c r="J2053" i="13" s="1"/>
  <c r="I2034" i="13"/>
  <c r="J2034" i="13" s="1"/>
  <c r="I2052" i="13"/>
  <c r="J2052" i="13" s="1"/>
  <c r="I2043" i="13"/>
  <c r="J2043" i="13" s="1"/>
  <c r="I2018" i="13"/>
  <c r="J2018" i="13" s="1"/>
  <c r="I2005" i="13"/>
  <c r="I2036" i="13"/>
  <c r="J2036" i="13" s="1"/>
  <c r="I2024" i="13"/>
  <c r="J2024" i="13" s="1"/>
  <c r="I2047" i="13"/>
  <c r="J2047" i="13" s="1"/>
  <c r="I2015" i="13"/>
  <c r="J2015" i="13" s="1"/>
  <c r="I2049" i="13"/>
  <c r="J2049" i="13" s="1"/>
  <c r="I2014" i="13"/>
  <c r="J2014" i="13" s="1"/>
  <c r="I2010" i="13"/>
  <c r="J2010" i="13" s="1"/>
  <c r="I2030" i="13"/>
  <c r="J2030" i="13" s="1"/>
  <c r="I2002" i="13"/>
  <c r="J2002" i="13" s="1"/>
  <c r="I2058" i="13"/>
  <c r="J2058" i="13" s="1"/>
  <c r="I2056" i="13"/>
  <c r="J2056" i="13" s="1"/>
  <c r="I2019" i="13"/>
  <c r="J2019" i="13" s="1"/>
  <c r="I2051" i="13"/>
  <c r="J2051" i="13" s="1"/>
  <c r="I2017" i="13"/>
  <c r="J2017" i="13" s="1"/>
  <c r="I2001" i="13"/>
  <c r="G697" i="20"/>
  <c r="H1446" i="20"/>
  <c r="I1446" i="20" s="1"/>
  <c r="H1451" i="20"/>
  <c r="I1451" i="20" s="1"/>
  <c r="H1459" i="20"/>
  <c r="I1459" i="20" s="1"/>
  <c r="H1470" i="20"/>
  <c r="I1470" i="20" s="1"/>
  <c r="H1448" i="20"/>
  <c r="I1448" i="20" s="1"/>
  <c r="H1484" i="20"/>
  <c r="I1484" i="20" s="1"/>
  <c r="H1496" i="20"/>
  <c r="I1496" i="20" s="1"/>
  <c r="H1442" i="20"/>
  <c r="I1442" i="20" s="1"/>
  <c r="H1465" i="20"/>
  <c r="I1465" i="20" s="1"/>
  <c r="H1457" i="20"/>
  <c r="I1457" i="20" s="1"/>
  <c r="H1494" i="20"/>
  <c r="I1494" i="20" s="1"/>
  <c r="H1473" i="20"/>
  <c r="I1473" i="20" s="1"/>
  <c r="H1469" i="20"/>
  <c r="I1469" i="20" s="1"/>
  <c r="H1477" i="20"/>
  <c r="I1477" i="20" s="1"/>
  <c r="H1495" i="20"/>
  <c r="I1495" i="20" s="1"/>
  <c r="H1464" i="20"/>
  <c r="I1464" i="20" s="1"/>
  <c r="H1447" i="20"/>
  <c r="I1447" i="20" s="1"/>
  <c r="H1463" i="20"/>
  <c r="I1463" i="20" s="1"/>
  <c r="H1466" i="20"/>
  <c r="I1466" i="20" s="1"/>
  <c r="H1439" i="20"/>
  <c r="I1439" i="20" s="1"/>
  <c r="H1497" i="20"/>
  <c r="I1497" i="20" s="1"/>
  <c r="H1485" i="20"/>
  <c r="I1485" i="20" s="1"/>
  <c r="H1491" i="20"/>
  <c r="I1491" i="20" s="1"/>
  <c r="H1479" i="20"/>
  <c r="I1479" i="20" s="1"/>
  <c r="H1455" i="20"/>
  <c r="I1455" i="20" s="1"/>
  <c r="H1440" i="20"/>
  <c r="I1440" i="20" s="1"/>
  <c r="H1478" i="20"/>
  <c r="I1478" i="20" s="1"/>
  <c r="H1476" i="20"/>
  <c r="I1476" i="20" s="1"/>
  <c r="H1461" i="20"/>
  <c r="I1461" i="20" s="1"/>
  <c r="H1444" i="20"/>
  <c r="I1444" i="20" s="1"/>
  <c r="H1480" i="20"/>
  <c r="I1480" i="20" s="1"/>
  <c r="H1460" i="20"/>
  <c r="I1460" i="20" s="1"/>
  <c r="H1453" i="20"/>
  <c r="I1453" i="20" s="1"/>
  <c r="H1441" i="20"/>
  <c r="H1467" i="20"/>
  <c r="I1467" i="20" s="1"/>
  <c r="H1488" i="20"/>
  <c r="I1488" i="20" s="1"/>
  <c r="H1492" i="20"/>
  <c r="I1492" i="20" s="1"/>
  <c r="H1449" i="20"/>
  <c r="I1449" i="20" s="1"/>
  <c r="H1468" i="20"/>
  <c r="I1468" i="20" s="1"/>
  <c r="H1456" i="20"/>
  <c r="I1456" i="20" s="1"/>
  <c r="H1471" i="20"/>
  <c r="I1471" i="20" s="1"/>
  <c r="H1458" i="20"/>
  <c r="I1458" i="20" s="1"/>
  <c r="H1462" i="20"/>
  <c r="I1462" i="20" s="1"/>
  <c r="H1475" i="20"/>
  <c r="I1475" i="20" s="1"/>
  <c r="H1450" i="20"/>
  <c r="I1450" i="20" s="1"/>
  <c r="H1438" i="20"/>
  <c r="H1452" i="20"/>
  <c r="I1452" i="20" s="1"/>
  <c r="H1489" i="20"/>
  <c r="I1489" i="20" s="1"/>
  <c r="H1474" i="20"/>
  <c r="I1474" i="20" s="1"/>
  <c r="H1493" i="20"/>
  <c r="I1493" i="20" s="1"/>
  <c r="H1486" i="20"/>
  <c r="I1486" i="20" s="1"/>
  <c r="H1483" i="20"/>
  <c r="I1483" i="20" s="1"/>
  <c r="H1482" i="20"/>
  <c r="I1482" i="20" s="1"/>
  <c r="H1490" i="20"/>
  <c r="I1490" i="20" s="1"/>
  <c r="H1445" i="20"/>
  <c r="I1445" i="20" s="1"/>
  <c r="H1472" i="20"/>
  <c r="I1472" i="20" s="1"/>
  <c r="H1454" i="20"/>
  <c r="I1454" i="20" s="1"/>
  <c r="H1443" i="20"/>
  <c r="I1443" i="20" s="1"/>
  <c r="H1481" i="20"/>
  <c r="I1481" i="20" s="1"/>
  <c r="H1487" i="20"/>
  <c r="I1487" i="20" s="1"/>
  <c r="G1231" i="20"/>
  <c r="G1944" i="20"/>
  <c r="H1908" i="20"/>
  <c r="I1908" i="20" s="1"/>
  <c r="H2008" i="20"/>
  <c r="I2008" i="20" s="1"/>
  <c r="H1892" i="20"/>
  <c r="I1892" i="20" s="1"/>
  <c r="H1996" i="20"/>
  <c r="I1996" i="20" s="1"/>
  <c r="H2022" i="20"/>
  <c r="I2022" i="20" s="1"/>
  <c r="H1924" i="20"/>
  <c r="I1924" i="20" s="1"/>
  <c r="H1987" i="20"/>
  <c r="I1987" i="20" s="1"/>
  <c r="H1891" i="20"/>
  <c r="I1891" i="20" s="1"/>
  <c r="H1894" i="20"/>
  <c r="I1894" i="20" s="1"/>
  <c r="H1983" i="20"/>
  <c r="I1983" i="20" s="1"/>
  <c r="H1933" i="20"/>
  <c r="I1933" i="20" s="1"/>
  <c r="H1990" i="20"/>
  <c r="I1990" i="20" s="1"/>
  <c r="H1930" i="20"/>
  <c r="I1930" i="20" s="1"/>
  <c r="H1988" i="20"/>
  <c r="I1988" i="20" s="1"/>
  <c r="H1984" i="20"/>
  <c r="I1984" i="20" s="1"/>
  <c r="H1902" i="20"/>
  <c r="I1902" i="20" s="1"/>
  <c r="H2020" i="20"/>
  <c r="I2020" i="20" s="1"/>
  <c r="H2006" i="20"/>
  <c r="I2006" i="20" s="1"/>
  <c r="H1998" i="20"/>
  <c r="I1998" i="20" s="1"/>
  <c r="H1991" i="20"/>
  <c r="I1991" i="20" s="1"/>
  <c r="H2014" i="20"/>
  <c r="I2014" i="20" s="1"/>
  <c r="H1899" i="20"/>
  <c r="I1899" i="20" s="1"/>
  <c r="H1904" i="20"/>
  <c r="I1904" i="20" s="1"/>
  <c r="H1890" i="20"/>
  <c r="I1890" i="20" s="1"/>
  <c r="H1978" i="20"/>
  <c r="I1978" i="20" s="1"/>
  <c r="H1977" i="20"/>
  <c r="H1931" i="20"/>
  <c r="I1931" i="20" s="1"/>
  <c r="H1937" i="20"/>
  <c r="I1937" i="20" s="1"/>
  <c r="H1976" i="20"/>
  <c r="I1976" i="20" s="1"/>
  <c r="H1941" i="20"/>
  <c r="I1941" i="20" s="1"/>
  <c r="H1910" i="20"/>
  <c r="I1910" i="20" s="1"/>
  <c r="H2004" i="20"/>
  <c r="I2004" i="20" s="1"/>
  <c r="H1920" i="20"/>
  <c r="I1920" i="20" s="1"/>
  <c r="H2029" i="20"/>
  <c r="I2029" i="20" s="1"/>
  <c r="H1906" i="20"/>
  <c r="I1906" i="20" s="1"/>
  <c r="H2028" i="20"/>
  <c r="I2028" i="20" s="1"/>
  <c r="H1926" i="20"/>
  <c r="I1926" i="20" s="1"/>
  <c r="H1940" i="20"/>
  <c r="I1940" i="20" s="1"/>
  <c r="H2015" i="20"/>
  <c r="I2015" i="20" s="1"/>
  <c r="H1986" i="20"/>
  <c r="I1986" i="20" s="1"/>
  <c r="H1934" i="20"/>
  <c r="I1934" i="20" s="1"/>
  <c r="H2031" i="20"/>
  <c r="I2031" i="20" s="1"/>
  <c r="H1939" i="20"/>
  <c r="I1939" i="20" s="1"/>
  <c r="H2026" i="20"/>
  <c r="I2026" i="20" s="1"/>
  <c r="H2005" i="20"/>
  <c r="I2005" i="20" s="1"/>
  <c r="H1900" i="20"/>
  <c r="I1900" i="20" s="1"/>
  <c r="H2010" i="20"/>
  <c r="I2010" i="20" s="1"/>
  <c r="H1907" i="20"/>
  <c r="I1907" i="20" s="1"/>
  <c r="H2017" i="20"/>
  <c r="I2017" i="20" s="1"/>
  <c r="H2007" i="20"/>
  <c r="I2007" i="20" s="1"/>
  <c r="H2001" i="20"/>
  <c r="I2001" i="20" s="1"/>
  <c r="H2016" i="20"/>
  <c r="I2016" i="20" s="1"/>
  <c r="H1896" i="20"/>
  <c r="I1896" i="20" s="1"/>
  <c r="H1917" i="20"/>
  <c r="I1917" i="20" s="1"/>
  <c r="H2021" i="20"/>
  <c r="I2021" i="20" s="1"/>
  <c r="H2023" i="20"/>
  <c r="I2023" i="20" s="1"/>
  <c r="H1999" i="20"/>
  <c r="I1999" i="20" s="1"/>
  <c r="H2019" i="20"/>
  <c r="I2019" i="20" s="1"/>
  <c r="H1927" i="20"/>
  <c r="I1927" i="20" s="1"/>
  <c r="H2009" i="20"/>
  <c r="I2009" i="20" s="1"/>
  <c r="H1916" i="20"/>
  <c r="I1916" i="20" s="1"/>
  <c r="H2025" i="20"/>
  <c r="I2025" i="20" s="1"/>
  <c r="H1994" i="20"/>
  <c r="I1994" i="20" s="1"/>
  <c r="H2024" i="20"/>
  <c r="I2024" i="20" s="1"/>
  <c r="H1975" i="20"/>
  <c r="I1975" i="20" s="1"/>
  <c r="H2018" i="20"/>
  <c r="I2018" i="20" s="1"/>
  <c r="H1923" i="20"/>
  <c r="I1923" i="20" s="1"/>
  <c r="H1901" i="20"/>
  <c r="I1901" i="20" s="1"/>
  <c r="H2002" i="20"/>
  <c r="I2002" i="20" s="1"/>
  <c r="H1943" i="20"/>
  <c r="I1943" i="20" s="1"/>
  <c r="H1979" i="20"/>
  <c r="I1979" i="20" s="1"/>
  <c r="H1915" i="20"/>
  <c r="I1915" i="20" s="1"/>
  <c r="H1932" i="20"/>
  <c r="I1932" i="20" s="1"/>
  <c r="H1925" i="20"/>
  <c r="I1925" i="20" s="1"/>
  <c r="H1938" i="20"/>
  <c r="I1938" i="20" s="1"/>
  <c r="H1919" i="20"/>
  <c r="I1919" i="20" s="1"/>
  <c r="H1982" i="20"/>
  <c r="I1982" i="20" s="1"/>
  <c r="H2030" i="20"/>
  <c r="I2030" i="20" s="1"/>
  <c r="H1989" i="20"/>
  <c r="I1989" i="20" s="1"/>
  <c r="H1905" i="20"/>
  <c r="I1905" i="20" s="1"/>
  <c r="H1895" i="20"/>
  <c r="I1895" i="20" s="1"/>
  <c r="H1913" i="20"/>
  <c r="I1913" i="20" s="1"/>
  <c r="H1935" i="20"/>
  <c r="I1935" i="20" s="1"/>
  <c r="H1995" i="20"/>
  <c r="I1995" i="20" s="1"/>
  <c r="H1985" i="20"/>
  <c r="I1985" i="20" s="1"/>
  <c r="H1981" i="20"/>
  <c r="I1981" i="20" s="1"/>
  <c r="H1921" i="20"/>
  <c r="I1921" i="20" s="1"/>
  <c r="H1942" i="20"/>
  <c r="I1942" i="20" s="1"/>
  <c r="H1936" i="20"/>
  <c r="I1936" i="20" s="1"/>
  <c r="H1911" i="20"/>
  <c r="I1911" i="20" s="1"/>
  <c r="H1928" i="20"/>
  <c r="I1928" i="20" s="1"/>
  <c r="H1992" i="20"/>
  <c r="I1992" i="20" s="1"/>
  <c r="H1885" i="20"/>
  <c r="I1885" i="20" s="1"/>
  <c r="H1914" i="20"/>
  <c r="I1914" i="20" s="1"/>
  <c r="H1973" i="20"/>
  <c r="H1922" i="20"/>
  <c r="I1922" i="20" s="1"/>
  <c r="H2011" i="20"/>
  <c r="I2011" i="20" s="1"/>
  <c r="H1888" i="20"/>
  <c r="I1888" i="20" s="1"/>
  <c r="H1912" i="20"/>
  <c r="I1912" i="20" s="1"/>
  <c r="H2032" i="20"/>
  <c r="I2032" i="20" s="1"/>
  <c r="H1929" i="20"/>
  <c r="I1929" i="20" s="1"/>
  <c r="H1898" i="20"/>
  <c r="I1898" i="20" s="1"/>
  <c r="H1887" i="20"/>
  <c r="I1887" i="20" s="1"/>
  <c r="H1974" i="20"/>
  <c r="I1974" i="20" s="1"/>
  <c r="H1980" i="20"/>
  <c r="I1980" i="20" s="1"/>
  <c r="H2000" i="20"/>
  <c r="I2000" i="20" s="1"/>
  <c r="H1997" i="20"/>
  <c r="I1997" i="20" s="1"/>
  <c r="H1909" i="20"/>
  <c r="I1909" i="20" s="1"/>
  <c r="H2003" i="20"/>
  <c r="I2003" i="20" s="1"/>
  <c r="H1993" i="20"/>
  <c r="I1993" i="20" s="1"/>
  <c r="H1918" i="20"/>
  <c r="I1918" i="20" s="1"/>
  <c r="H1903" i="20"/>
  <c r="I1903" i="20" s="1"/>
  <c r="H1886" i="20"/>
  <c r="H1889" i="20"/>
  <c r="I1889" i="20" s="1"/>
  <c r="H1897" i="20"/>
  <c r="I1897" i="20" s="1"/>
  <c r="H2012" i="20"/>
  <c r="I2012" i="20" s="1"/>
  <c r="H2013" i="20"/>
  <c r="I2013" i="20" s="1"/>
  <c r="H1893" i="20"/>
  <c r="I1893" i="20" s="1"/>
  <c r="H1884" i="20"/>
  <c r="H2027" i="20"/>
  <c r="I2027" i="20" s="1"/>
  <c r="H918" i="20"/>
  <c r="I918" i="20" s="1"/>
  <c r="H950" i="20"/>
  <c r="I950" i="20" s="1"/>
  <c r="H937" i="20"/>
  <c r="I937" i="20" s="1"/>
  <c r="H932" i="20"/>
  <c r="I932" i="20" s="1"/>
  <c r="H960" i="20"/>
  <c r="I960" i="20" s="1"/>
  <c r="H940" i="20"/>
  <c r="I940" i="20" s="1"/>
  <c r="H908" i="20"/>
  <c r="I908" i="20" s="1"/>
  <c r="H917" i="20"/>
  <c r="I917" i="20" s="1"/>
  <c r="H957" i="20"/>
  <c r="I957" i="20" s="1"/>
  <c r="H947" i="20"/>
  <c r="I947" i="20" s="1"/>
  <c r="H920" i="20"/>
  <c r="I920" i="20" s="1"/>
  <c r="H941" i="20"/>
  <c r="I941" i="20" s="1"/>
  <c r="H919" i="20"/>
  <c r="I919" i="20" s="1"/>
  <c r="H948" i="20"/>
  <c r="I948" i="20" s="1"/>
  <c r="H916" i="20"/>
  <c r="I916" i="20" s="1"/>
  <c r="H904" i="20"/>
  <c r="H934" i="20"/>
  <c r="I934" i="20" s="1"/>
  <c r="H958" i="20"/>
  <c r="I958" i="20" s="1"/>
  <c r="H927" i="20"/>
  <c r="I927" i="20" s="1"/>
  <c r="H921" i="20"/>
  <c r="I921" i="20" s="1"/>
  <c r="H906" i="20"/>
  <c r="I906" i="20" s="1"/>
  <c r="H953" i="20"/>
  <c r="I953" i="20" s="1"/>
  <c r="H907" i="20"/>
  <c r="I907" i="20" s="1"/>
  <c r="H923" i="20"/>
  <c r="I923" i="20" s="1"/>
  <c r="H922" i="20"/>
  <c r="I922" i="20" s="1"/>
  <c r="H961" i="20"/>
  <c r="I961" i="20" s="1"/>
  <c r="H962" i="20"/>
  <c r="I962" i="20" s="1"/>
  <c r="H955" i="20"/>
  <c r="I955" i="20" s="1"/>
  <c r="H914" i="20"/>
  <c r="I914" i="20" s="1"/>
  <c r="H913" i="20"/>
  <c r="I913" i="20" s="1"/>
  <c r="H933" i="20"/>
  <c r="I933" i="20" s="1"/>
  <c r="H956" i="20"/>
  <c r="I956" i="20" s="1"/>
  <c r="H928" i="20"/>
  <c r="I928" i="20" s="1"/>
  <c r="H925" i="20"/>
  <c r="I925" i="20" s="1"/>
  <c r="H954" i="20"/>
  <c r="I954" i="20" s="1"/>
  <c r="H936" i="20"/>
  <c r="I936" i="20" s="1"/>
  <c r="H935" i="20"/>
  <c r="I935" i="20" s="1"/>
  <c r="H944" i="20"/>
  <c r="I944" i="20" s="1"/>
  <c r="H939" i="20"/>
  <c r="I939" i="20" s="1"/>
  <c r="H946" i="20"/>
  <c r="I946" i="20" s="1"/>
  <c r="H952" i="20"/>
  <c r="I952" i="20" s="1"/>
  <c r="H951" i="20"/>
  <c r="I951" i="20" s="1"/>
  <c r="H938" i="20"/>
  <c r="I938" i="20" s="1"/>
  <c r="H912" i="20"/>
  <c r="I912" i="20" s="1"/>
  <c r="H949" i="20"/>
  <c r="I949" i="20" s="1"/>
  <c r="H909" i="20"/>
  <c r="H926" i="20"/>
  <c r="I926" i="20" s="1"/>
  <c r="H931" i="20"/>
  <c r="I931" i="20" s="1"/>
  <c r="H910" i="20"/>
  <c r="I910" i="20" s="1"/>
  <c r="H915" i="20"/>
  <c r="I915" i="20" s="1"/>
  <c r="H905" i="20"/>
  <c r="I905" i="20" s="1"/>
  <c r="H929" i="20"/>
  <c r="I929" i="20" s="1"/>
  <c r="H942" i="20"/>
  <c r="I942" i="20" s="1"/>
  <c r="H943" i="20"/>
  <c r="I943" i="20" s="1"/>
  <c r="H945" i="20"/>
  <c r="I945" i="20" s="1"/>
  <c r="H959" i="20"/>
  <c r="I959" i="20" s="1"/>
  <c r="H911" i="20"/>
  <c r="I911" i="20" s="1"/>
  <c r="H963" i="20"/>
  <c r="I963" i="20" s="1"/>
  <c r="H930" i="20"/>
  <c r="I930" i="20" s="1"/>
  <c r="H924" i="20"/>
  <c r="I924" i="20" s="1"/>
  <c r="G1855" i="20"/>
  <c r="N1782" i="20"/>
  <c r="M26" i="20" s="1"/>
  <c r="M2000" i="13"/>
  <c r="H2060" i="13"/>
  <c r="G250" i="20"/>
  <c r="M1214" i="13"/>
  <c r="M1215" i="13" s="1"/>
  <c r="M1234" i="13"/>
  <c r="H1285" i="13"/>
  <c r="M1225" i="13"/>
  <c r="G160" i="20"/>
  <c r="G340" i="20"/>
  <c r="I458" i="13"/>
  <c r="I499" i="13"/>
  <c r="J499" i="13" s="1"/>
  <c r="I493" i="13"/>
  <c r="J493" i="13" s="1"/>
  <c r="I502" i="13"/>
  <c r="J502" i="13" s="1"/>
  <c r="I491" i="13"/>
  <c r="J491" i="13" s="1"/>
  <c r="I449" i="13"/>
  <c r="I501" i="13"/>
  <c r="J501" i="13" s="1"/>
  <c r="I480" i="13"/>
  <c r="J480" i="13" s="1"/>
  <c r="I498" i="13"/>
  <c r="J498" i="13" s="1"/>
  <c r="I490" i="13"/>
  <c r="J490" i="13" s="1"/>
  <c r="I472" i="13"/>
  <c r="J472" i="13" s="1"/>
  <c r="I456" i="13"/>
  <c r="I464" i="13"/>
  <c r="J464" i="13" s="1"/>
  <c r="I487" i="13"/>
  <c r="J487" i="13" s="1"/>
  <c r="I455" i="13"/>
  <c r="I460" i="13"/>
  <c r="J460" i="13" s="1"/>
  <c r="I452" i="13"/>
  <c r="I450" i="13"/>
  <c r="I457" i="13"/>
  <c r="I448" i="13"/>
  <c r="I483" i="13"/>
  <c r="J483" i="13" s="1"/>
  <c r="I475" i="13"/>
  <c r="J475" i="13" s="1"/>
  <c r="I474" i="13"/>
  <c r="J474" i="13" s="1"/>
  <c r="I489" i="13"/>
  <c r="J489" i="13" s="1"/>
  <c r="I451" i="13"/>
  <c r="I454" i="13"/>
  <c r="I462" i="13"/>
  <c r="J462" i="13" s="1"/>
  <c r="I479" i="13"/>
  <c r="J479" i="13" s="1"/>
  <c r="I496" i="13"/>
  <c r="J496" i="13" s="1"/>
  <c r="I465" i="13"/>
  <c r="J465" i="13" s="1"/>
  <c r="I468" i="13"/>
  <c r="J468" i="13" s="1"/>
  <c r="I461" i="13"/>
  <c r="J461" i="13" s="1"/>
  <c r="I503" i="13"/>
  <c r="J503" i="13" s="1"/>
  <c r="I495" i="13"/>
  <c r="J495" i="13" s="1"/>
  <c r="I473" i="13"/>
  <c r="J473" i="13" s="1"/>
  <c r="I488" i="13"/>
  <c r="J488" i="13" s="1"/>
  <c r="I453" i="13"/>
  <c r="I469" i="13"/>
  <c r="J469" i="13" s="1"/>
  <c r="I463" i="13"/>
  <c r="J463" i="13" s="1"/>
  <c r="I497" i="13"/>
  <c r="J497" i="13" s="1"/>
  <c r="I484" i="13"/>
  <c r="J484" i="13" s="1"/>
  <c r="I486" i="13"/>
  <c r="J486" i="13" s="1"/>
  <c r="I466" i="13"/>
  <c r="J466" i="13" s="1"/>
  <c r="I477" i="13"/>
  <c r="J477" i="13" s="1"/>
  <c r="I506" i="13"/>
  <c r="J506" i="13" s="1"/>
  <c r="I481" i="13"/>
  <c r="J481" i="13" s="1"/>
  <c r="I470" i="13"/>
  <c r="J470" i="13" s="1"/>
  <c r="I505" i="13"/>
  <c r="J505" i="13" s="1"/>
  <c r="I492" i="13"/>
  <c r="J492" i="13" s="1"/>
  <c r="I482" i="13"/>
  <c r="J482" i="13" s="1"/>
  <c r="I485" i="13"/>
  <c r="J485" i="13" s="1"/>
  <c r="I447" i="13"/>
  <c r="I467" i="13"/>
  <c r="J467" i="13" s="1"/>
  <c r="I476" i="13"/>
  <c r="J476" i="13" s="1"/>
  <c r="I478" i="13"/>
  <c r="J478" i="13" s="1"/>
  <c r="I471" i="13"/>
  <c r="J471" i="13" s="1"/>
  <c r="I500" i="13"/>
  <c r="J500" i="13" s="1"/>
  <c r="I494" i="13"/>
  <c r="J494" i="13" s="1"/>
  <c r="I459" i="13"/>
  <c r="I504" i="13"/>
  <c r="J504" i="13" s="1"/>
  <c r="H553" i="20"/>
  <c r="I553" i="20" s="1"/>
  <c r="H550" i="20"/>
  <c r="H583" i="20"/>
  <c r="I583" i="20" s="1"/>
  <c r="H589" i="20"/>
  <c r="I589" i="20" s="1"/>
  <c r="H571" i="20"/>
  <c r="I571" i="20" s="1"/>
  <c r="H603" i="20"/>
  <c r="I603" i="20" s="1"/>
  <c r="H588" i="20"/>
  <c r="I588" i="20" s="1"/>
  <c r="H594" i="20"/>
  <c r="I594" i="20" s="1"/>
  <c r="H596" i="20"/>
  <c r="I596" i="20" s="1"/>
  <c r="H577" i="20"/>
  <c r="I577" i="20" s="1"/>
  <c r="H555" i="20"/>
  <c r="I555" i="20" s="1"/>
  <c r="H599" i="20"/>
  <c r="I599" i="20" s="1"/>
  <c r="H597" i="20"/>
  <c r="I597" i="20" s="1"/>
  <c r="H570" i="20"/>
  <c r="I570" i="20" s="1"/>
  <c r="H552" i="20"/>
  <c r="I552" i="20" s="1"/>
  <c r="H591" i="20"/>
  <c r="I591" i="20" s="1"/>
  <c r="H606" i="20"/>
  <c r="I606" i="20" s="1"/>
  <c r="H574" i="20"/>
  <c r="I574" i="20" s="1"/>
  <c r="H587" i="20"/>
  <c r="I587" i="20" s="1"/>
  <c r="H558" i="20"/>
  <c r="I558" i="20" s="1"/>
  <c r="H562" i="20"/>
  <c r="I562" i="20" s="1"/>
  <c r="H585" i="20"/>
  <c r="I585" i="20" s="1"/>
  <c r="H578" i="20"/>
  <c r="I578" i="20" s="1"/>
  <c r="H560" i="20"/>
  <c r="I560" i="20" s="1"/>
  <c r="H592" i="20"/>
  <c r="I592" i="20" s="1"/>
  <c r="H549" i="20"/>
  <c r="I549" i="20" s="1"/>
  <c r="H569" i="20"/>
  <c r="I569" i="20" s="1"/>
  <c r="H575" i="20"/>
  <c r="I575" i="20" s="1"/>
  <c r="H607" i="20"/>
  <c r="I607" i="20" s="1"/>
  <c r="H582" i="20"/>
  <c r="I582" i="20" s="1"/>
  <c r="H556" i="20"/>
  <c r="I556" i="20" s="1"/>
  <c r="H579" i="20"/>
  <c r="I579" i="20" s="1"/>
  <c r="H581" i="20"/>
  <c r="I581" i="20" s="1"/>
  <c r="H548" i="20"/>
  <c r="H554" i="20"/>
  <c r="I554" i="20" s="1"/>
  <c r="H580" i="20"/>
  <c r="I580" i="20" s="1"/>
  <c r="H559" i="20"/>
  <c r="I559" i="20" s="1"/>
  <c r="H584" i="20"/>
  <c r="I584" i="20" s="1"/>
  <c r="H601" i="20"/>
  <c r="I601" i="20" s="1"/>
  <c r="H576" i="20"/>
  <c r="I576" i="20" s="1"/>
  <c r="H595" i="20"/>
  <c r="I595" i="20" s="1"/>
  <c r="H604" i="20"/>
  <c r="I604" i="20" s="1"/>
  <c r="H602" i="20"/>
  <c r="I602" i="20" s="1"/>
  <c r="H572" i="20"/>
  <c r="I572" i="20" s="1"/>
  <c r="H600" i="20"/>
  <c r="I600" i="20" s="1"/>
  <c r="H567" i="20"/>
  <c r="I567" i="20" s="1"/>
  <c r="H590" i="20"/>
  <c r="I590" i="20" s="1"/>
  <c r="H573" i="20"/>
  <c r="I573" i="20" s="1"/>
  <c r="H551" i="20"/>
  <c r="I551" i="20" s="1"/>
  <c r="H563" i="20"/>
  <c r="I563" i="20" s="1"/>
  <c r="H564" i="20"/>
  <c r="I564" i="20" s="1"/>
  <c r="H598" i="20"/>
  <c r="I598" i="20" s="1"/>
  <c r="H561" i="20"/>
  <c r="I561" i="20" s="1"/>
  <c r="H557" i="20"/>
  <c r="I557" i="20" s="1"/>
  <c r="H568" i="20"/>
  <c r="I568" i="20" s="1"/>
  <c r="H605" i="20"/>
  <c r="I605" i="20" s="1"/>
  <c r="H586" i="20"/>
  <c r="I586" i="20" s="1"/>
  <c r="H565" i="20"/>
  <c r="I565" i="20" s="1"/>
  <c r="H593" i="20"/>
  <c r="I593" i="20" s="1"/>
  <c r="H566" i="20"/>
  <c r="I566" i="20" s="1"/>
  <c r="G1409" i="20"/>
  <c r="I545" i="13"/>
  <c r="J545" i="13" s="1"/>
  <c r="I539" i="13"/>
  <c r="I533" i="13"/>
  <c r="I569" i="13"/>
  <c r="J569" i="13" s="1"/>
  <c r="I553" i="13"/>
  <c r="J553" i="13" s="1"/>
  <c r="I560" i="13"/>
  <c r="J560" i="13" s="1"/>
  <c r="I535" i="13"/>
  <c r="I537" i="13"/>
  <c r="I578" i="13"/>
  <c r="J578" i="13" s="1"/>
  <c r="I586" i="13"/>
  <c r="J586" i="13" s="1"/>
  <c r="I550" i="13"/>
  <c r="J550" i="13" s="1"/>
  <c r="I580" i="13"/>
  <c r="J580" i="13" s="1"/>
  <c r="I557" i="13"/>
  <c r="J557" i="13" s="1"/>
  <c r="I566" i="13"/>
  <c r="J566" i="13" s="1"/>
  <c r="I546" i="13"/>
  <c r="J546" i="13" s="1"/>
  <c r="I541" i="13"/>
  <c r="I587" i="13"/>
  <c r="J587" i="13" s="1"/>
  <c r="I589" i="13"/>
  <c r="J589" i="13" s="1"/>
  <c r="I543" i="13"/>
  <c r="J543" i="13" s="1"/>
  <c r="I559" i="13"/>
  <c r="J559" i="13" s="1"/>
  <c r="I570" i="13"/>
  <c r="J570" i="13" s="1"/>
  <c r="I574" i="13"/>
  <c r="J574" i="13" s="1"/>
  <c r="I581" i="13"/>
  <c r="J581" i="13" s="1"/>
  <c r="I558" i="13"/>
  <c r="J558" i="13" s="1"/>
  <c r="I571" i="13"/>
  <c r="J571" i="13" s="1"/>
  <c r="I562" i="13"/>
  <c r="J562" i="13" s="1"/>
  <c r="I567" i="13"/>
  <c r="J567" i="13" s="1"/>
  <c r="I584" i="13"/>
  <c r="J584" i="13" s="1"/>
  <c r="I576" i="13"/>
  <c r="J576" i="13" s="1"/>
  <c r="I544" i="13"/>
  <c r="J544" i="13" s="1"/>
  <c r="I585" i="13"/>
  <c r="J585" i="13" s="1"/>
  <c r="I547" i="13"/>
  <c r="J547" i="13" s="1"/>
  <c r="I534" i="13"/>
  <c r="I577" i="13"/>
  <c r="J577" i="13" s="1"/>
  <c r="I563" i="13"/>
  <c r="J563" i="13" s="1"/>
  <c r="I568" i="13"/>
  <c r="J568" i="13" s="1"/>
  <c r="I590" i="13"/>
  <c r="J590" i="13" s="1"/>
  <c r="I552" i="13"/>
  <c r="J552" i="13" s="1"/>
  <c r="I588" i="13"/>
  <c r="J588" i="13" s="1"/>
  <c r="I591" i="13"/>
  <c r="J591" i="13" s="1"/>
  <c r="I549" i="13"/>
  <c r="J549" i="13" s="1"/>
  <c r="I572" i="13"/>
  <c r="J572" i="13" s="1"/>
  <c r="I555" i="13"/>
  <c r="J555" i="13" s="1"/>
  <c r="I556" i="13"/>
  <c r="J556" i="13" s="1"/>
  <c r="I592" i="13"/>
  <c r="J592" i="13" s="1"/>
  <c r="I575" i="13"/>
  <c r="J575" i="13" s="1"/>
  <c r="I554" i="13"/>
  <c r="J554" i="13" s="1"/>
  <c r="I565" i="13"/>
  <c r="J565" i="13" s="1"/>
  <c r="I542" i="13"/>
  <c r="I583" i="13"/>
  <c r="J583" i="13" s="1"/>
  <c r="I564" i="13"/>
  <c r="J564" i="13" s="1"/>
  <c r="I551" i="13"/>
  <c r="J551" i="13" s="1"/>
  <c r="I573" i="13"/>
  <c r="J573" i="13" s="1"/>
  <c r="I540" i="13"/>
  <c r="I579" i="13"/>
  <c r="J579" i="13" s="1"/>
  <c r="I582" i="13"/>
  <c r="J582" i="13" s="1"/>
  <c r="I561" i="13"/>
  <c r="J561" i="13" s="1"/>
  <c r="I538" i="13"/>
  <c r="I536" i="13"/>
  <c r="I548" i="13"/>
  <c r="J548" i="13" s="1"/>
  <c r="M178" i="13"/>
  <c r="M179" i="13" s="1"/>
  <c r="M201" i="13"/>
  <c r="H1262" i="20"/>
  <c r="I1262" i="20" s="1"/>
  <c r="H1297" i="20"/>
  <c r="I1297" i="20" s="1"/>
  <c r="H1291" i="20"/>
  <c r="I1291" i="20" s="1"/>
  <c r="H1263" i="20"/>
  <c r="H1307" i="20"/>
  <c r="I1307" i="20" s="1"/>
  <c r="H1293" i="20"/>
  <c r="I1293" i="20" s="1"/>
  <c r="H1276" i="20"/>
  <c r="I1276" i="20" s="1"/>
  <c r="H1301" i="20"/>
  <c r="I1301" i="20" s="1"/>
  <c r="H1277" i="20"/>
  <c r="I1277" i="20" s="1"/>
  <c r="H1287" i="20"/>
  <c r="I1287" i="20" s="1"/>
  <c r="H1272" i="20"/>
  <c r="I1272" i="20" s="1"/>
  <c r="H1308" i="20"/>
  <c r="I1308" i="20" s="1"/>
  <c r="H1311" i="20"/>
  <c r="I1311" i="20" s="1"/>
  <c r="H1316" i="20"/>
  <c r="I1316" i="20" s="1"/>
  <c r="H1279" i="20"/>
  <c r="I1279" i="20" s="1"/>
  <c r="H1309" i="20"/>
  <c r="I1309" i="20" s="1"/>
  <c r="H1302" i="20"/>
  <c r="I1302" i="20" s="1"/>
  <c r="H1318" i="20"/>
  <c r="I1318" i="20" s="1"/>
  <c r="H1282" i="20"/>
  <c r="I1282" i="20" s="1"/>
  <c r="H1283" i="20"/>
  <c r="I1283" i="20" s="1"/>
  <c r="H1281" i="20"/>
  <c r="I1281" i="20" s="1"/>
  <c r="H1304" i="20"/>
  <c r="I1304" i="20" s="1"/>
  <c r="H1271" i="20"/>
  <c r="I1271" i="20" s="1"/>
  <c r="H1286" i="20"/>
  <c r="I1286" i="20" s="1"/>
  <c r="H1273" i="20"/>
  <c r="I1273" i="20" s="1"/>
  <c r="H1289" i="20"/>
  <c r="I1289" i="20" s="1"/>
  <c r="H1292" i="20"/>
  <c r="I1292" i="20" s="1"/>
  <c r="H1274" i="20"/>
  <c r="I1274" i="20" s="1"/>
  <c r="H1290" i="20"/>
  <c r="I1290" i="20" s="1"/>
  <c r="H1294" i="20"/>
  <c r="I1294" i="20" s="1"/>
  <c r="H1312" i="20"/>
  <c r="I1312" i="20" s="1"/>
  <c r="H1296" i="20"/>
  <c r="I1296" i="20" s="1"/>
  <c r="H1315" i="20"/>
  <c r="I1315" i="20" s="1"/>
  <c r="H1319" i="20"/>
  <c r="I1319" i="20" s="1"/>
  <c r="H1295" i="20"/>
  <c r="I1295" i="20" s="1"/>
  <c r="H1306" i="20"/>
  <c r="I1306" i="20" s="1"/>
  <c r="H1268" i="20"/>
  <c r="I1268" i="20" s="1"/>
  <c r="H1264" i="20"/>
  <c r="I1264" i="20" s="1"/>
  <c r="H1317" i="20"/>
  <c r="I1317" i="20" s="1"/>
  <c r="H1261" i="20"/>
  <c r="I1261" i="20" s="1"/>
  <c r="H1269" i="20"/>
  <c r="I1269" i="20" s="1"/>
  <c r="H1313" i="20"/>
  <c r="I1313" i="20" s="1"/>
  <c r="H1305" i="20"/>
  <c r="I1305" i="20" s="1"/>
  <c r="H1260" i="20"/>
  <c r="H1284" i="20"/>
  <c r="I1284" i="20" s="1"/>
  <c r="H1285" i="20"/>
  <c r="I1285" i="20" s="1"/>
  <c r="H1267" i="20"/>
  <c r="I1267" i="20" s="1"/>
  <c r="H1303" i="20"/>
  <c r="I1303" i="20" s="1"/>
  <c r="H1265" i="20"/>
  <c r="I1265" i="20" s="1"/>
  <c r="H1270" i="20"/>
  <c r="I1270" i="20" s="1"/>
  <c r="H1298" i="20"/>
  <c r="I1298" i="20" s="1"/>
  <c r="H1278" i="20"/>
  <c r="I1278" i="20" s="1"/>
  <c r="H1266" i="20"/>
  <c r="I1266" i="20" s="1"/>
  <c r="H1299" i="20"/>
  <c r="I1299" i="20" s="1"/>
  <c r="H1280" i="20"/>
  <c r="I1280" i="20" s="1"/>
  <c r="H1300" i="20"/>
  <c r="I1300" i="20" s="1"/>
  <c r="H1275" i="20"/>
  <c r="I1275" i="20" s="1"/>
  <c r="H1310" i="20"/>
  <c r="I1310" i="20" s="1"/>
  <c r="H1314" i="20"/>
  <c r="I1314" i="20" s="1"/>
  <c r="H1288" i="20"/>
  <c r="I1288" i="20" s="1"/>
  <c r="H1573" i="20"/>
  <c r="I1573" i="20" s="1"/>
  <c r="H1541" i="20"/>
  <c r="I1541" i="20" s="1"/>
  <c r="H1561" i="20"/>
  <c r="I1561" i="20" s="1"/>
  <c r="H1570" i="20"/>
  <c r="I1570" i="20" s="1"/>
  <c r="H1548" i="20"/>
  <c r="I1548" i="20" s="1"/>
  <c r="H1532" i="20"/>
  <c r="I1532" i="20" s="1"/>
  <c r="H1558" i="20"/>
  <c r="I1558" i="20" s="1"/>
  <c r="H1543" i="20"/>
  <c r="I1543" i="20" s="1"/>
  <c r="H1574" i="20"/>
  <c r="I1574" i="20" s="1"/>
  <c r="H1582" i="20"/>
  <c r="I1582" i="20" s="1"/>
  <c r="H1583" i="20"/>
  <c r="I1583" i="20" s="1"/>
  <c r="H1580" i="20"/>
  <c r="I1580" i="20" s="1"/>
  <c r="H1530" i="20"/>
  <c r="H1555" i="20"/>
  <c r="I1555" i="20" s="1"/>
  <c r="H1568" i="20"/>
  <c r="I1568" i="20" s="1"/>
  <c r="H1553" i="20"/>
  <c r="I1553" i="20" s="1"/>
  <c r="H1575" i="20"/>
  <c r="I1575" i="20" s="1"/>
  <c r="H1534" i="20"/>
  <c r="I1534" i="20" s="1"/>
  <c r="H1549" i="20"/>
  <c r="I1549" i="20" s="1"/>
  <c r="H1557" i="20"/>
  <c r="I1557" i="20" s="1"/>
  <c r="H1559" i="20"/>
  <c r="I1559" i="20" s="1"/>
  <c r="H1563" i="20"/>
  <c r="I1563" i="20" s="1"/>
  <c r="H1540" i="20"/>
  <c r="I1540" i="20" s="1"/>
  <c r="H1536" i="20"/>
  <c r="I1536" i="20" s="1"/>
  <c r="H1576" i="20"/>
  <c r="I1576" i="20" s="1"/>
  <c r="H1527" i="20"/>
  <c r="H1539" i="20"/>
  <c r="I1539" i="20" s="1"/>
  <c r="H1567" i="20"/>
  <c r="I1567" i="20" s="1"/>
  <c r="H1586" i="20"/>
  <c r="I1586" i="20" s="1"/>
  <c r="H1533" i="20"/>
  <c r="I1533" i="20" s="1"/>
  <c r="H1584" i="20"/>
  <c r="I1584" i="20" s="1"/>
  <c r="H1547" i="20"/>
  <c r="I1547" i="20" s="1"/>
  <c r="H1578" i="20"/>
  <c r="I1578" i="20" s="1"/>
  <c r="H1565" i="20"/>
  <c r="I1565" i="20" s="1"/>
  <c r="H1585" i="20"/>
  <c r="I1585" i="20" s="1"/>
  <c r="H1566" i="20"/>
  <c r="I1566" i="20" s="1"/>
  <c r="H1542" i="20"/>
  <c r="I1542" i="20" s="1"/>
  <c r="H1569" i="20"/>
  <c r="I1569" i="20" s="1"/>
  <c r="H1538" i="20"/>
  <c r="I1538" i="20" s="1"/>
  <c r="H1577" i="20"/>
  <c r="I1577" i="20" s="1"/>
  <c r="H1560" i="20"/>
  <c r="I1560" i="20" s="1"/>
  <c r="H1529" i="20"/>
  <c r="I1529" i="20" s="1"/>
  <c r="H1562" i="20"/>
  <c r="I1562" i="20" s="1"/>
  <c r="H1531" i="20"/>
  <c r="I1531" i="20" s="1"/>
  <c r="H1581" i="20"/>
  <c r="I1581" i="20" s="1"/>
  <c r="H1551" i="20"/>
  <c r="I1551" i="20" s="1"/>
  <c r="H1550" i="20"/>
  <c r="I1550" i="20" s="1"/>
  <c r="H1537" i="20"/>
  <c r="I1537" i="20" s="1"/>
  <c r="H1544" i="20"/>
  <c r="I1544" i="20" s="1"/>
  <c r="H1535" i="20"/>
  <c r="I1535" i="20" s="1"/>
  <c r="H1571" i="20"/>
  <c r="I1571" i="20" s="1"/>
  <c r="H1546" i="20"/>
  <c r="I1546" i="20" s="1"/>
  <c r="H1556" i="20"/>
  <c r="I1556" i="20" s="1"/>
  <c r="H1552" i="20"/>
  <c r="I1552" i="20" s="1"/>
  <c r="H1572" i="20"/>
  <c r="I1572" i="20" s="1"/>
  <c r="H1579" i="20"/>
  <c r="I1579" i="20" s="1"/>
  <c r="H1564" i="20"/>
  <c r="I1564" i="20" s="1"/>
  <c r="H1528" i="20"/>
  <c r="I1528" i="20" s="1"/>
  <c r="H1554" i="20"/>
  <c r="I1554" i="20" s="1"/>
  <c r="H1545" i="20"/>
  <c r="I1545" i="20" s="1"/>
  <c r="M1053" i="13"/>
  <c r="H1113" i="13"/>
  <c r="G1142" i="20"/>
  <c r="H767" i="13"/>
  <c r="M707" i="13"/>
  <c r="I652" i="13"/>
  <c r="J652" i="13" s="1"/>
  <c r="I654" i="13"/>
  <c r="J654" i="13" s="1"/>
  <c r="I677" i="13"/>
  <c r="J677" i="13" s="1"/>
  <c r="I625" i="13"/>
  <c r="I649" i="13"/>
  <c r="J649" i="13" s="1"/>
  <c r="I631" i="13"/>
  <c r="I653" i="13"/>
  <c r="J653" i="13" s="1"/>
  <c r="I674" i="13"/>
  <c r="J674" i="13" s="1"/>
  <c r="I660" i="13"/>
  <c r="J660" i="13" s="1"/>
  <c r="I662" i="13"/>
  <c r="J662" i="13" s="1"/>
  <c r="I650" i="13"/>
  <c r="J650" i="13" s="1"/>
  <c r="I634" i="13"/>
  <c r="J634" i="13" s="1"/>
  <c r="I657" i="13"/>
  <c r="J657" i="13" s="1"/>
  <c r="I639" i="13"/>
  <c r="J639" i="13" s="1"/>
  <c r="I640" i="13"/>
  <c r="J640" i="13" s="1"/>
  <c r="I638" i="13"/>
  <c r="J638" i="13" s="1"/>
  <c r="I668" i="13"/>
  <c r="J668" i="13" s="1"/>
  <c r="I670" i="13"/>
  <c r="J670" i="13" s="1"/>
  <c r="I666" i="13"/>
  <c r="J666" i="13" s="1"/>
  <c r="I637" i="13"/>
  <c r="J637" i="13" s="1"/>
  <c r="I665" i="13"/>
  <c r="J665" i="13" s="1"/>
  <c r="I647" i="13"/>
  <c r="J647" i="13" s="1"/>
  <c r="I648" i="13"/>
  <c r="J648" i="13" s="1"/>
  <c r="I659" i="13"/>
  <c r="J659" i="13" s="1"/>
  <c r="I676" i="13"/>
  <c r="J676" i="13" s="1"/>
  <c r="I622" i="13"/>
  <c r="I671" i="13"/>
  <c r="J671" i="13" s="1"/>
  <c r="I669" i="13"/>
  <c r="J669" i="13" s="1"/>
  <c r="I620" i="13"/>
  <c r="I655" i="13"/>
  <c r="J655" i="13" s="1"/>
  <c r="I656" i="13"/>
  <c r="J656" i="13" s="1"/>
  <c r="I642" i="13"/>
  <c r="J642" i="13" s="1"/>
  <c r="I678" i="13"/>
  <c r="J678" i="13" s="1"/>
  <c r="I632" i="13"/>
  <c r="J632" i="13" s="1"/>
  <c r="I626" i="13"/>
  <c r="I664" i="13"/>
  <c r="J664" i="13" s="1"/>
  <c r="I663" i="13"/>
  <c r="J663" i="13" s="1"/>
  <c r="I624" i="13"/>
  <c r="I658" i="13"/>
  <c r="J658" i="13" s="1"/>
  <c r="I635" i="13"/>
  <c r="J635" i="13" s="1"/>
  <c r="I627" i="13"/>
  <c r="I628" i="13"/>
  <c r="I633" i="13"/>
  <c r="J633" i="13" s="1"/>
  <c r="I641" i="13"/>
  <c r="J641" i="13" s="1"/>
  <c r="I661" i="13"/>
  <c r="J661" i="13" s="1"/>
  <c r="I673" i="13"/>
  <c r="J673" i="13" s="1"/>
  <c r="I667" i="13"/>
  <c r="J667" i="13" s="1"/>
  <c r="I619" i="13"/>
  <c r="I623" i="13"/>
  <c r="I643" i="13"/>
  <c r="J643" i="13" s="1"/>
  <c r="I646" i="13"/>
  <c r="J646" i="13" s="1"/>
  <c r="I651" i="13"/>
  <c r="J651" i="13" s="1"/>
  <c r="I629" i="13"/>
  <c r="I644" i="13"/>
  <c r="J644" i="13" s="1"/>
  <c r="I672" i="13"/>
  <c r="J672" i="13" s="1"/>
  <c r="I621" i="13"/>
  <c r="I675" i="13"/>
  <c r="J675" i="13" s="1"/>
  <c r="I645" i="13"/>
  <c r="J645" i="13" s="1"/>
  <c r="I630" i="13"/>
  <c r="I636" i="13"/>
  <c r="J636" i="13" s="1"/>
  <c r="G1498" i="20"/>
  <c r="I1023" i="13"/>
  <c r="J1023" i="13" s="1"/>
  <c r="I1015" i="13"/>
  <c r="J1015" i="13" s="1"/>
  <c r="I1007" i="13"/>
  <c r="J1007" i="13" s="1"/>
  <c r="I1021" i="13"/>
  <c r="J1021" i="13" s="1"/>
  <c r="I1014" i="13"/>
  <c r="J1014" i="13" s="1"/>
  <c r="I985" i="13"/>
  <c r="J985" i="13" s="1"/>
  <c r="I1010" i="13"/>
  <c r="J1010" i="13" s="1"/>
  <c r="I1005" i="13"/>
  <c r="J1005" i="13" s="1"/>
  <c r="I1026" i="13"/>
  <c r="J1026" i="13" s="1"/>
  <c r="I993" i="13"/>
  <c r="J993" i="13" s="1"/>
  <c r="I1002" i="13"/>
  <c r="J1002" i="13" s="1"/>
  <c r="I967" i="13"/>
  <c r="I997" i="13"/>
  <c r="J997" i="13" s="1"/>
  <c r="I1024" i="13"/>
  <c r="J1024" i="13" s="1"/>
  <c r="I1022" i="13"/>
  <c r="J1022" i="13" s="1"/>
  <c r="I1019" i="13"/>
  <c r="J1019" i="13" s="1"/>
  <c r="I970" i="13"/>
  <c r="I986" i="13"/>
  <c r="J986" i="13" s="1"/>
  <c r="I969" i="13"/>
  <c r="I1012" i="13"/>
  <c r="J1012" i="13" s="1"/>
  <c r="I984" i="13"/>
  <c r="J984" i="13" s="1"/>
  <c r="I1016" i="13"/>
  <c r="J1016" i="13" s="1"/>
  <c r="I1025" i="13"/>
  <c r="J1025" i="13" s="1"/>
  <c r="I1020" i="13"/>
  <c r="J1020" i="13" s="1"/>
  <c r="I996" i="13"/>
  <c r="J996" i="13" s="1"/>
  <c r="I977" i="13"/>
  <c r="I1013" i="13"/>
  <c r="J1013" i="13" s="1"/>
  <c r="I1009" i="13"/>
  <c r="J1009" i="13" s="1"/>
  <c r="I972" i="13"/>
  <c r="J972" i="13" s="1"/>
  <c r="I990" i="13"/>
  <c r="J990" i="13" s="1"/>
  <c r="I1017" i="13"/>
  <c r="J1017" i="13" s="1"/>
  <c r="I994" i="13"/>
  <c r="J994" i="13" s="1"/>
  <c r="I988" i="13"/>
  <c r="J988" i="13" s="1"/>
  <c r="I983" i="13"/>
  <c r="J983" i="13" s="1"/>
  <c r="I974" i="13"/>
  <c r="J974" i="13" s="1"/>
  <c r="I979" i="13"/>
  <c r="J979" i="13" s="1"/>
  <c r="I989" i="13"/>
  <c r="J989" i="13" s="1"/>
  <c r="I1001" i="13"/>
  <c r="J1001" i="13" s="1"/>
  <c r="I971" i="13"/>
  <c r="I995" i="13"/>
  <c r="J995" i="13" s="1"/>
  <c r="I982" i="13"/>
  <c r="J982" i="13" s="1"/>
  <c r="I975" i="13"/>
  <c r="J975" i="13" s="1"/>
  <c r="I1004" i="13"/>
  <c r="J1004" i="13" s="1"/>
  <c r="I999" i="13"/>
  <c r="J999" i="13" s="1"/>
  <c r="I992" i="13"/>
  <c r="J992" i="13" s="1"/>
  <c r="I976" i="13"/>
  <c r="J976" i="13" s="1"/>
  <c r="I973" i="13"/>
  <c r="J973" i="13" s="1"/>
  <c r="I1018" i="13"/>
  <c r="J1018" i="13" s="1"/>
  <c r="I991" i="13"/>
  <c r="J991" i="13" s="1"/>
  <c r="I1008" i="13"/>
  <c r="J1008" i="13" s="1"/>
  <c r="I978" i="13"/>
  <c r="J978" i="13" s="1"/>
  <c r="I968" i="13"/>
  <c r="I998" i="13"/>
  <c r="J998" i="13" s="1"/>
  <c r="I1000" i="13"/>
  <c r="J1000" i="13" s="1"/>
  <c r="I981" i="13"/>
  <c r="J981" i="13" s="1"/>
  <c r="I987" i="13"/>
  <c r="J987" i="13" s="1"/>
  <c r="I1011" i="13"/>
  <c r="J1011" i="13" s="1"/>
  <c r="I980" i="13"/>
  <c r="J980" i="13" s="1"/>
  <c r="I1006" i="13"/>
  <c r="J1006" i="13" s="1"/>
  <c r="I1003" i="13"/>
  <c r="J1003" i="13" s="1"/>
  <c r="H1648" i="20"/>
  <c r="I1648" i="20" s="1"/>
  <c r="H1619" i="20"/>
  <c r="H1671" i="20"/>
  <c r="I1671" i="20" s="1"/>
  <c r="H1616" i="20"/>
  <c r="H1641" i="20"/>
  <c r="I1641" i="20" s="1"/>
  <c r="H1620" i="20"/>
  <c r="I1620" i="20" s="1"/>
  <c r="H1628" i="20"/>
  <c r="I1628" i="20" s="1"/>
  <c r="H1646" i="20"/>
  <c r="I1646" i="20" s="1"/>
  <c r="H1649" i="20"/>
  <c r="I1649" i="20" s="1"/>
  <c r="H1674" i="20"/>
  <c r="I1674" i="20" s="1"/>
  <c r="H1631" i="20"/>
  <c r="I1631" i="20" s="1"/>
  <c r="H1640" i="20"/>
  <c r="I1640" i="20" s="1"/>
  <c r="H1670" i="20"/>
  <c r="I1670" i="20" s="1"/>
  <c r="H1639" i="20"/>
  <c r="I1639" i="20" s="1"/>
  <c r="H1667" i="20"/>
  <c r="I1667" i="20" s="1"/>
  <c r="H1650" i="20"/>
  <c r="I1650" i="20" s="1"/>
  <c r="H1672" i="20"/>
  <c r="I1672" i="20" s="1"/>
  <c r="H1664" i="20"/>
  <c r="I1664" i="20" s="1"/>
  <c r="H1656" i="20"/>
  <c r="I1656" i="20" s="1"/>
  <c r="H1663" i="20"/>
  <c r="I1663" i="20" s="1"/>
  <c r="H1637" i="20"/>
  <c r="I1637" i="20" s="1"/>
  <c r="H1626" i="20"/>
  <c r="I1626" i="20" s="1"/>
  <c r="H1643" i="20"/>
  <c r="I1643" i="20" s="1"/>
  <c r="H1673" i="20"/>
  <c r="I1673" i="20" s="1"/>
  <c r="H1657" i="20"/>
  <c r="I1657" i="20" s="1"/>
  <c r="H1666" i="20"/>
  <c r="I1666" i="20" s="1"/>
  <c r="H1634" i="20"/>
  <c r="I1634" i="20" s="1"/>
  <c r="H1647" i="20"/>
  <c r="I1647" i="20" s="1"/>
  <c r="H1642" i="20"/>
  <c r="I1642" i="20" s="1"/>
  <c r="H1651" i="20"/>
  <c r="I1651" i="20" s="1"/>
  <c r="H1635" i="20"/>
  <c r="I1635" i="20" s="1"/>
  <c r="H1675" i="20"/>
  <c r="I1675" i="20" s="1"/>
  <c r="H1645" i="20"/>
  <c r="I1645" i="20" s="1"/>
  <c r="H1658" i="20"/>
  <c r="I1658" i="20" s="1"/>
  <c r="H1661" i="20"/>
  <c r="I1661" i="20" s="1"/>
  <c r="H1669" i="20"/>
  <c r="I1669" i="20" s="1"/>
  <c r="H1665" i="20"/>
  <c r="I1665" i="20" s="1"/>
  <c r="H1624" i="20"/>
  <c r="I1624" i="20" s="1"/>
  <c r="H1623" i="20"/>
  <c r="I1623" i="20" s="1"/>
  <c r="H1618" i="20"/>
  <c r="I1618" i="20" s="1"/>
  <c r="H1627" i="20"/>
  <c r="I1627" i="20" s="1"/>
  <c r="H1625" i="20"/>
  <c r="I1625" i="20" s="1"/>
  <c r="H1662" i="20"/>
  <c r="I1662" i="20" s="1"/>
  <c r="H1629" i="20"/>
  <c r="I1629" i="20" s="1"/>
  <c r="H1622" i="20"/>
  <c r="I1622" i="20" s="1"/>
  <c r="H1636" i="20"/>
  <c r="I1636" i="20" s="1"/>
  <c r="H1632" i="20"/>
  <c r="I1632" i="20" s="1"/>
  <c r="H1638" i="20"/>
  <c r="I1638" i="20" s="1"/>
  <c r="H1644" i="20"/>
  <c r="I1644" i="20" s="1"/>
  <c r="H1633" i="20"/>
  <c r="I1633" i="20" s="1"/>
  <c r="H1659" i="20"/>
  <c r="I1659" i="20" s="1"/>
  <c r="H1660" i="20"/>
  <c r="I1660" i="20" s="1"/>
  <c r="H1621" i="20"/>
  <c r="I1621" i="20" s="1"/>
  <c r="H1617" i="20"/>
  <c r="I1617" i="20" s="1"/>
  <c r="H1653" i="20"/>
  <c r="I1653" i="20" s="1"/>
  <c r="H1668" i="20"/>
  <c r="I1668" i="20" s="1"/>
  <c r="H1630" i="20"/>
  <c r="I1630" i="20" s="1"/>
  <c r="H1654" i="20"/>
  <c r="I1654" i="20" s="1"/>
  <c r="H1655" i="20"/>
  <c r="I1655" i="20" s="1"/>
  <c r="H1652" i="20"/>
  <c r="I1652" i="20" s="1"/>
  <c r="I390" i="13"/>
  <c r="J390" i="13" s="1"/>
  <c r="I395" i="13"/>
  <c r="J395" i="13" s="1"/>
  <c r="I386" i="13"/>
  <c r="J386" i="13" s="1"/>
  <c r="I391" i="13"/>
  <c r="J391" i="13" s="1"/>
  <c r="I416" i="13"/>
  <c r="J416" i="13" s="1"/>
  <c r="I396" i="13"/>
  <c r="J396" i="13" s="1"/>
  <c r="I420" i="13"/>
  <c r="J420" i="13" s="1"/>
  <c r="I406" i="13"/>
  <c r="J406" i="13" s="1"/>
  <c r="I398" i="13"/>
  <c r="J398" i="13" s="1"/>
  <c r="I373" i="13"/>
  <c r="I409" i="13"/>
  <c r="J409" i="13" s="1"/>
  <c r="I375" i="13"/>
  <c r="J375" i="13" s="1"/>
  <c r="I388" i="13"/>
  <c r="J388" i="13" s="1"/>
  <c r="I392" i="13"/>
  <c r="J392" i="13" s="1"/>
  <c r="I417" i="13"/>
  <c r="J417" i="13" s="1"/>
  <c r="I413" i="13"/>
  <c r="J413" i="13" s="1"/>
  <c r="I408" i="13"/>
  <c r="J408" i="13" s="1"/>
  <c r="I407" i="13"/>
  <c r="J407" i="13" s="1"/>
  <c r="I387" i="13"/>
  <c r="J387" i="13" s="1"/>
  <c r="I361" i="13"/>
  <c r="I402" i="13"/>
  <c r="J402" i="13" s="1"/>
  <c r="I403" i="13"/>
  <c r="J403" i="13" s="1"/>
  <c r="I365" i="13"/>
  <c r="I385" i="13"/>
  <c r="J385" i="13" s="1"/>
  <c r="I389" i="13"/>
  <c r="J389" i="13" s="1"/>
  <c r="I405" i="13"/>
  <c r="J405" i="13" s="1"/>
  <c r="I381" i="13"/>
  <c r="J381" i="13" s="1"/>
  <c r="I393" i="13"/>
  <c r="J393" i="13" s="1"/>
  <c r="I397" i="13"/>
  <c r="J397" i="13" s="1"/>
  <c r="I412" i="13"/>
  <c r="J412" i="13" s="1"/>
  <c r="I372" i="13"/>
  <c r="I377" i="13"/>
  <c r="J377" i="13" s="1"/>
  <c r="I415" i="13"/>
  <c r="J415" i="13" s="1"/>
  <c r="I380" i="13"/>
  <c r="J380" i="13" s="1"/>
  <c r="I376" i="13"/>
  <c r="J376" i="13" s="1"/>
  <c r="I369" i="13"/>
  <c r="I399" i="13"/>
  <c r="J399" i="13" s="1"/>
  <c r="I367" i="13"/>
  <c r="I411" i="13"/>
  <c r="J411" i="13" s="1"/>
  <c r="I394" i="13"/>
  <c r="J394" i="13" s="1"/>
  <c r="I414" i="13"/>
  <c r="J414" i="13" s="1"/>
  <c r="I383" i="13"/>
  <c r="J383" i="13" s="1"/>
  <c r="I374" i="13"/>
  <c r="J374" i="13" s="1"/>
  <c r="I363" i="13"/>
  <c r="I400" i="13"/>
  <c r="J400" i="13" s="1"/>
  <c r="I371" i="13"/>
  <c r="I382" i="13"/>
  <c r="J382" i="13" s="1"/>
  <c r="I362" i="13"/>
  <c r="I410" i="13"/>
  <c r="J410" i="13" s="1"/>
  <c r="I370" i="13"/>
  <c r="I378" i="13"/>
  <c r="J378" i="13" s="1"/>
  <c r="I418" i="13"/>
  <c r="J418" i="13" s="1"/>
  <c r="I364" i="13"/>
  <c r="I404" i="13"/>
  <c r="J404" i="13" s="1"/>
  <c r="I419" i="13"/>
  <c r="J419" i="13" s="1"/>
  <c r="I366" i="13"/>
  <c r="I384" i="13"/>
  <c r="J384" i="13" s="1"/>
  <c r="I379" i="13"/>
  <c r="J379" i="13" s="1"/>
  <c r="I368" i="13"/>
  <c r="I401" i="13"/>
  <c r="J401" i="13" s="1"/>
  <c r="I1969" i="13"/>
  <c r="J1969" i="13" s="1"/>
  <c r="I1925" i="13"/>
  <c r="J1925" i="13" s="1"/>
  <c r="I1964" i="13"/>
  <c r="J1964" i="13" s="1"/>
  <c r="I1952" i="13"/>
  <c r="J1952" i="13" s="1"/>
  <c r="I1919" i="13"/>
  <c r="I1921" i="13"/>
  <c r="I1972" i="13"/>
  <c r="J1972" i="13" s="1"/>
  <c r="I1970" i="13"/>
  <c r="J1970" i="13" s="1"/>
  <c r="I1942" i="13"/>
  <c r="J1942" i="13" s="1"/>
  <c r="I1931" i="13"/>
  <c r="J1931" i="13" s="1"/>
  <c r="I1960" i="13"/>
  <c r="J1960" i="13" s="1"/>
  <c r="I1918" i="13"/>
  <c r="I1947" i="13"/>
  <c r="J1947" i="13" s="1"/>
  <c r="I1948" i="13"/>
  <c r="J1948" i="13" s="1"/>
  <c r="I1958" i="13"/>
  <c r="J1958" i="13" s="1"/>
  <c r="I1923" i="13"/>
  <c r="I1941" i="13"/>
  <c r="J1941" i="13" s="1"/>
  <c r="I1917" i="13"/>
  <c r="I1916" i="13"/>
  <c r="J1916" i="13" s="1"/>
  <c r="I1944" i="13"/>
  <c r="J1944" i="13" s="1"/>
  <c r="I1957" i="13"/>
  <c r="J1957" i="13" s="1"/>
  <c r="I1936" i="13"/>
  <c r="J1936" i="13" s="1"/>
  <c r="I1915" i="13"/>
  <c r="J1915" i="13" s="1"/>
  <c r="I1924" i="13"/>
  <c r="I1914" i="13"/>
  <c r="J1914" i="13" s="1"/>
  <c r="I1943" i="13"/>
  <c r="J1943" i="13" s="1"/>
  <c r="I1913" i="13"/>
  <c r="I1938" i="13"/>
  <c r="J1938" i="13" s="1"/>
  <c r="I1965" i="13"/>
  <c r="J1965" i="13" s="1"/>
  <c r="I1928" i="13"/>
  <c r="J1928" i="13" s="1"/>
  <c r="I1946" i="13"/>
  <c r="J1946" i="13" s="1"/>
  <c r="I1971" i="13"/>
  <c r="J1971" i="13" s="1"/>
  <c r="I1963" i="13"/>
  <c r="J1963" i="13" s="1"/>
  <c r="I1950" i="13"/>
  <c r="J1950" i="13" s="1"/>
  <c r="I1968" i="13"/>
  <c r="J1968" i="13" s="1"/>
  <c r="I1937" i="13"/>
  <c r="J1937" i="13" s="1"/>
  <c r="I1945" i="13"/>
  <c r="J1945" i="13" s="1"/>
  <c r="I1922" i="13"/>
  <c r="I1966" i="13"/>
  <c r="J1966" i="13" s="1"/>
  <c r="I1967" i="13"/>
  <c r="J1967" i="13" s="1"/>
  <c r="I1951" i="13"/>
  <c r="J1951" i="13" s="1"/>
  <c r="I1935" i="13"/>
  <c r="J1935" i="13" s="1"/>
  <c r="I1932" i="13"/>
  <c r="J1932" i="13" s="1"/>
  <c r="I1961" i="13"/>
  <c r="J1961" i="13" s="1"/>
  <c r="I1949" i="13"/>
  <c r="J1949" i="13" s="1"/>
  <c r="I1962" i="13"/>
  <c r="J1962" i="13" s="1"/>
  <c r="I1933" i="13"/>
  <c r="J1933" i="13" s="1"/>
  <c r="I1929" i="13"/>
  <c r="J1929" i="13" s="1"/>
  <c r="I1930" i="13"/>
  <c r="J1930" i="13" s="1"/>
  <c r="I1959" i="13"/>
  <c r="J1959" i="13" s="1"/>
  <c r="I1920" i="13"/>
  <c r="I1926" i="13"/>
  <c r="J1926" i="13" s="1"/>
  <c r="I1954" i="13"/>
  <c r="J1954" i="13" s="1"/>
  <c r="I1939" i="13"/>
  <c r="J1939" i="13" s="1"/>
  <c r="I1955" i="13"/>
  <c r="J1955" i="13" s="1"/>
  <c r="I1934" i="13"/>
  <c r="J1934" i="13" s="1"/>
  <c r="I1927" i="13"/>
  <c r="J1927" i="13" s="1"/>
  <c r="I1953" i="13"/>
  <c r="J1953" i="13" s="1"/>
  <c r="I1940" i="13"/>
  <c r="J1940" i="13" s="1"/>
  <c r="I1956" i="13"/>
  <c r="J1956" i="13" s="1"/>
  <c r="M619" i="13"/>
  <c r="H679" i="13"/>
  <c r="H1209" i="20"/>
  <c r="I1209" i="20" s="1"/>
  <c r="H1225" i="20"/>
  <c r="I1225" i="20" s="1"/>
  <c r="H1217" i="20"/>
  <c r="I1217" i="20" s="1"/>
  <c r="H1230" i="20"/>
  <c r="I1230" i="20" s="1"/>
  <c r="H1203" i="20"/>
  <c r="I1203" i="20" s="1"/>
  <c r="H1210" i="20"/>
  <c r="I1210" i="20" s="1"/>
  <c r="H1178" i="20"/>
  <c r="I1178" i="20" s="1"/>
  <c r="H1201" i="20"/>
  <c r="I1201" i="20" s="1"/>
  <c r="H1220" i="20"/>
  <c r="I1220" i="20" s="1"/>
  <c r="H1196" i="20"/>
  <c r="I1196" i="20" s="1"/>
  <c r="H1194" i="20"/>
  <c r="I1194" i="20" s="1"/>
  <c r="H1197" i="20"/>
  <c r="I1197" i="20" s="1"/>
  <c r="H1190" i="20"/>
  <c r="I1190" i="20" s="1"/>
  <c r="H1212" i="20"/>
  <c r="I1212" i="20" s="1"/>
  <c r="H1189" i="20"/>
  <c r="I1189" i="20" s="1"/>
  <c r="H1226" i="20"/>
  <c r="I1226" i="20" s="1"/>
  <c r="H1213" i="20"/>
  <c r="I1213" i="20" s="1"/>
  <c r="H1202" i="20"/>
  <c r="I1202" i="20" s="1"/>
  <c r="H1174" i="20"/>
  <c r="H1186" i="20"/>
  <c r="I1186" i="20" s="1"/>
  <c r="H1195" i="20"/>
  <c r="I1195" i="20" s="1"/>
  <c r="H1185" i="20"/>
  <c r="I1185" i="20" s="1"/>
  <c r="H1218" i="20"/>
  <c r="I1218" i="20" s="1"/>
  <c r="H1184" i="20"/>
  <c r="I1184" i="20" s="1"/>
  <c r="H1187" i="20"/>
  <c r="I1187" i="20" s="1"/>
  <c r="H1219" i="20"/>
  <c r="I1219" i="20" s="1"/>
  <c r="H1224" i="20"/>
  <c r="I1224" i="20" s="1"/>
  <c r="H1200" i="20"/>
  <c r="I1200" i="20" s="1"/>
  <c r="H1216" i="20"/>
  <c r="I1216" i="20" s="1"/>
  <c r="H1199" i="20"/>
  <c r="I1199" i="20" s="1"/>
  <c r="H1175" i="20"/>
  <c r="I1175" i="20" s="1"/>
  <c r="H1192" i="20"/>
  <c r="I1192" i="20" s="1"/>
  <c r="H1182" i="20"/>
  <c r="I1182" i="20" s="1"/>
  <c r="H1183" i="20"/>
  <c r="I1183" i="20" s="1"/>
  <c r="H1207" i="20"/>
  <c r="I1207" i="20" s="1"/>
  <c r="H1229" i="20"/>
  <c r="I1229" i="20" s="1"/>
  <c r="H1191" i="20"/>
  <c r="I1191" i="20" s="1"/>
  <c r="H1222" i="20"/>
  <c r="I1222" i="20" s="1"/>
  <c r="H1180" i="20"/>
  <c r="I1180" i="20" s="1"/>
  <c r="H1211" i="20"/>
  <c r="I1211" i="20" s="1"/>
  <c r="H1205" i="20"/>
  <c r="I1205" i="20" s="1"/>
  <c r="H1173" i="20"/>
  <c r="I1173" i="20" s="1"/>
  <c r="H1208" i="20"/>
  <c r="I1208" i="20" s="1"/>
  <c r="H1206" i="20"/>
  <c r="I1206" i="20" s="1"/>
  <c r="H1221" i="20"/>
  <c r="I1221" i="20" s="1"/>
  <c r="H1179" i="20"/>
  <c r="I1179" i="20" s="1"/>
  <c r="H1176" i="20"/>
  <c r="I1176" i="20" s="1"/>
  <c r="H1214" i="20"/>
  <c r="I1214" i="20" s="1"/>
  <c r="H1172" i="20"/>
  <c r="I1172" i="20" s="1"/>
  <c r="H1193" i="20"/>
  <c r="I1193" i="20" s="1"/>
  <c r="H1204" i="20"/>
  <c r="I1204" i="20" s="1"/>
  <c r="H1188" i="20"/>
  <c r="I1188" i="20" s="1"/>
  <c r="H1228" i="20"/>
  <c r="I1228" i="20" s="1"/>
  <c r="H1181" i="20"/>
  <c r="I1181" i="20" s="1"/>
  <c r="H1171" i="20"/>
  <c r="H1227" i="20"/>
  <c r="I1227" i="20" s="1"/>
  <c r="H1223" i="20"/>
  <c r="I1223" i="20" s="1"/>
  <c r="H1215" i="20"/>
  <c r="I1215" i="20" s="1"/>
  <c r="H1177" i="20"/>
  <c r="I1177" i="20" s="1"/>
  <c r="H1198" i="20"/>
  <c r="I1198" i="20" s="1"/>
  <c r="M967" i="13"/>
  <c r="H1027" i="13"/>
  <c r="I1788" i="13"/>
  <c r="J1788" i="13" s="1"/>
  <c r="I1799" i="13"/>
  <c r="J1799" i="13" s="1"/>
  <c r="I1756" i="13"/>
  <c r="J1756" i="13" s="1"/>
  <c r="I1763" i="13"/>
  <c r="J1763" i="13" s="1"/>
  <c r="I1778" i="13"/>
  <c r="J1778" i="13" s="1"/>
  <c r="I1764" i="13"/>
  <c r="J1764" i="13" s="1"/>
  <c r="I1757" i="13"/>
  <c r="J1757" i="13" s="1"/>
  <c r="I1743" i="13"/>
  <c r="I1796" i="13"/>
  <c r="J1796" i="13" s="1"/>
  <c r="I1758" i="13"/>
  <c r="J1758" i="13" s="1"/>
  <c r="I1800" i="13"/>
  <c r="J1800" i="13" s="1"/>
  <c r="I1798" i="13"/>
  <c r="J1798" i="13" s="1"/>
  <c r="I1741" i="13"/>
  <c r="I1794" i="13"/>
  <c r="J1794" i="13" s="1"/>
  <c r="I1779" i="13"/>
  <c r="J1779" i="13" s="1"/>
  <c r="I1770" i="13"/>
  <c r="J1770" i="13" s="1"/>
  <c r="I1751" i="13"/>
  <c r="J1751" i="13" s="1"/>
  <c r="I1755" i="13"/>
  <c r="J1755" i="13" s="1"/>
  <c r="I1754" i="13"/>
  <c r="J1754" i="13" s="1"/>
  <c r="I1769" i="13"/>
  <c r="J1769" i="13" s="1"/>
  <c r="I1746" i="13"/>
  <c r="I1748" i="13"/>
  <c r="I1752" i="13"/>
  <c r="J1752" i="13" s="1"/>
  <c r="I1759" i="13"/>
  <c r="J1759" i="13" s="1"/>
  <c r="I1765" i="13"/>
  <c r="J1765" i="13" s="1"/>
  <c r="I1781" i="13"/>
  <c r="J1781" i="13" s="1"/>
  <c r="I1795" i="13"/>
  <c r="J1795" i="13" s="1"/>
  <c r="I1767" i="13"/>
  <c r="J1767" i="13" s="1"/>
  <c r="I1744" i="13"/>
  <c r="I1768" i="13"/>
  <c r="J1768" i="13" s="1"/>
  <c r="I1790" i="13"/>
  <c r="J1790" i="13" s="1"/>
  <c r="I1745" i="13"/>
  <c r="I1784" i="13"/>
  <c r="J1784" i="13" s="1"/>
  <c r="I1750" i="13"/>
  <c r="J1750" i="13" s="1"/>
  <c r="I1772" i="13"/>
  <c r="J1772" i="13" s="1"/>
  <c r="I1789" i="13"/>
  <c r="J1789" i="13" s="1"/>
  <c r="I1773" i="13"/>
  <c r="J1773" i="13" s="1"/>
  <c r="I1775" i="13"/>
  <c r="J1775" i="13" s="1"/>
  <c r="I1786" i="13"/>
  <c r="J1786" i="13" s="1"/>
  <c r="I1761" i="13"/>
  <c r="J1761" i="13" s="1"/>
  <c r="I1777" i="13"/>
  <c r="J1777" i="13" s="1"/>
  <c r="I1762" i="13"/>
  <c r="J1762" i="13" s="1"/>
  <c r="I1797" i="13"/>
  <c r="J1797" i="13" s="1"/>
  <c r="I1771" i="13"/>
  <c r="J1771" i="13" s="1"/>
  <c r="I1785" i="13"/>
  <c r="J1785" i="13" s="1"/>
  <c r="I1783" i="13"/>
  <c r="J1783" i="13" s="1"/>
  <c r="I1774" i="13"/>
  <c r="J1774" i="13" s="1"/>
  <c r="I1787" i="13"/>
  <c r="J1787" i="13" s="1"/>
  <c r="I1753" i="13"/>
  <c r="J1753" i="13" s="1"/>
  <c r="I1749" i="13"/>
  <c r="J1749" i="13" s="1"/>
  <c r="I1782" i="13"/>
  <c r="J1782" i="13" s="1"/>
  <c r="I1766" i="13"/>
  <c r="J1766" i="13" s="1"/>
  <c r="I1791" i="13"/>
  <c r="J1791" i="13" s="1"/>
  <c r="I1747" i="13"/>
  <c r="I1792" i="13"/>
  <c r="J1792" i="13" s="1"/>
  <c r="I1793" i="13"/>
  <c r="J1793" i="13" s="1"/>
  <c r="I1780" i="13"/>
  <c r="J1780" i="13" s="1"/>
  <c r="I1760" i="13"/>
  <c r="J1760" i="13" s="1"/>
  <c r="I1742" i="13"/>
  <c r="I1776" i="13"/>
  <c r="J1776" i="13" s="1"/>
  <c r="M1747" i="13"/>
  <c r="M1730" i="13"/>
  <c r="M1731" i="13" s="1"/>
  <c r="M2005" i="13"/>
  <c r="M1989" i="13"/>
  <c r="M1990" i="13" s="1"/>
  <c r="M1835" i="13"/>
  <c r="M1816" i="13"/>
  <c r="M1817" i="13" s="1"/>
  <c r="H507" i="13"/>
  <c r="M447" i="13"/>
  <c r="G608" i="20"/>
  <c r="H1394" i="20"/>
  <c r="I1394" i="20" s="1"/>
  <c r="H1387" i="20"/>
  <c r="I1387" i="20" s="1"/>
  <c r="H1376" i="20"/>
  <c r="I1376" i="20" s="1"/>
  <c r="H1349" i="20"/>
  <c r="H1366" i="20"/>
  <c r="I1366" i="20" s="1"/>
  <c r="H1350" i="20"/>
  <c r="I1350" i="20" s="1"/>
  <c r="H1354" i="20"/>
  <c r="I1354" i="20" s="1"/>
  <c r="H1401" i="20"/>
  <c r="I1401" i="20" s="1"/>
  <c r="H1403" i="20"/>
  <c r="I1403" i="20" s="1"/>
  <c r="H1380" i="20"/>
  <c r="I1380" i="20" s="1"/>
  <c r="H1385" i="20"/>
  <c r="I1385" i="20" s="1"/>
  <c r="H1392" i="20"/>
  <c r="I1392" i="20" s="1"/>
  <c r="H1372" i="20"/>
  <c r="I1372" i="20" s="1"/>
  <c r="H1397" i="20"/>
  <c r="I1397" i="20" s="1"/>
  <c r="H1405" i="20"/>
  <c r="I1405" i="20" s="1"/>
  <c r="H1361" i="20"/>
  <c r="I1361" i="20" s="1"/>
  <c r="H1396" i="20"/>
  <c r="I1396" i="20" s="1"/>
  <c r="H1357" i="20"/>
  <c r="I1357" i="20" s="1"/>
  <c r="H1406" i="20"/>
  <c r="I1406" i="20" s="1"/>
  <c r="H1359" i="20"/>
  <c r="I1359" i="20" s="1"/>
  <c r="H1360" i="20"/>
  <c r="I1360" i="20" s="1"/>
  <c r="H1352" i="20"/>
  <c r="H1368" i="20"/>
  <c r="I1368" i="20" s="1"/>
  <c r="H1381" i="20"/>
  <c r="I1381" i="20" s="1"/>
  <c r="H1378" i="20"/>
  <c r="I1378" i="20" s="1"/>
  <c r="H1391" i="20"/>
  <c r="I1391" i="20" s="1"/>
  <c r="H1398" i="20"/>
  <c r="I1398" i="20" s="1"/>
  <c r="H1383" i="20"/>
  <c r="I1383" i="20" s="1"/>
  <c r="H1395" i="20"/>
  <c r="I1395" i="20" s="1"/>
  <c r="H1375" i="20"/>
  <c r="I1375" i="20" s="1"/>
  <c r="H1400" i="20"/>
  <c r="I1400" i="20" s="1"/>
  <c r="H1363" i="20"/>
  <c r="I1363" i="20" s="1"/>
  <c r="H1370" i="20"/>
  <c r="I1370" i="20" s="1"/>
  <c r="H1382" i="20"/>
  <c r="I1382" i="20" s="1"/>
  <c r="H1371" i="20"/>
  <c r="I1371" i="20" s="1"/>
  <c r="H1399" i="20"/>
  <c r="I1399" i="20" s="1"/>
  <c r="H1362" i="20"/>
  <c r="I1362" i="20" s="1"/>
  <c r="H1389" i="20"/>
  <c r="I1389" i="20" s="1"/>
  <c r="H1393" i="20"/>
  <c r="I1393" i="20" s="1"/>
  <c r="H1355" i="20"/>
  <c r="I1355" i="20" s="1"/>
  <c r="H1384" i="20"/>
  <c r="I1384" i="20" s="1"/>
  <c r="H1402" i="20"/>
  <c r="I1402" i="20" s="1"/>
  <c r="H1369" i="20"/>
  <c r="I1369" i="20" s="1"/>
  <c r="H1390" i="20"/>
  <c r="I1390" i="20" s="1"/>
  <c r="H1351" i="20"/>
  <c r="I1351" i="20" s="1"/>
  <c r="H1408" i="20"/>
  <c r="I1408" i="20" s="1"/>
  <c r="H1374" i="20"/>
  <c r="I1374" i="20" s="1"/>
  <c r="H1358" i="20"/>
  <c r="I1358" i="20" s="1"/>
  <c r="H1364" i="20"/>
  <c r="I1364" i="20" s="1"/>
  <c r="H1407" i="20"/>
  <c r="I1407" i="20" s="1"/>
  <c r="H1404" i="20"/>
  <c r="I1404" i="20" s="1"/>
  <c r="H1353" i="20"/>
  <c r="I1353" i="20" s="1"/>
  <c r="H1379" i="20"/>
  <c r="I1379" i="20" s="1"/>
  <c r="H1373" i="20"/>
  <c r="I1373" i="20" s="1"/>
  <c r="H1386" i="20"/>
  <c r="I1386" i="20" s="1"/>
  <c r="H1365" i="20"/>
  <c r="I1365" i="20" s="1"/>
  <c r="H1388" i="20"/>
  <c r="I1388" i="20" s="1"/>
  <c r="H1377" i="20"/>
  <c r="I1377" i="20" s="1"/>
  <c r="H1367" i="20"/>
  <c r="I1367" i="20" s="1"/>
  <c r="H1356" i="20"/>
  <c r="I1356" i="20" s="1"/>
  <c r="M541" i="13"/>
  <c r="M522" i="13"/>
  <c r="M523" i="13" s="1"/>
  <c r="M1483" i="13"/>
  <c r="H1543" i="13"/>
  <c r="I196" i="13"/>
  <c r="I201" i="13"/>
  <c r="I210" i="13"/>
  <c r="J210" i="13" s="1"/>
  <c r="I219" i="13"/>
  <c r="J219" i="13" s="1"/>
  <c r="I229" i="13"/>
  <c r="J229" i="13" s="1"/>
  <c r="I198" i="13"/>
  <c r="I194" i="13"/>
  <c r="I233" i="13"/>
  <c r="J233" i="13" s="1"/>
  <c r="I206" i="13"/>
  <c r="J206" i="13" s="1"/>
  <c r="I209" i="13"/>
  <c r="J209" i="13" s="1"/>
  <c r="I218" i="13"/>
  <c r="J218" i="13" s="1"/>
  <c r="I227" i="13"/>
  <c r="J227" i="13" s="1"/>
  <c r="I237" i="13"/>
  <c r="J237" i="13" s="1"/>
  <c r="I216" i="13"/>
  <c r="J216" i="13" s="1"/>
  <c r="I223" i="13"/>
  <c r="J223" i="13" s="1"/>
  <c r="I189" i="13"/>
  <c r="I214" i="13"/>
  <c r="J214" i="13" s="1"/>
  <c r="I217" i="13"/>
  <c r="J217" i="13" s="1"/>
  <c r="I226" i="13"/>
  <c r="J226" i="13" s="1"/>
  <c r="I235" i="13"/>
  <c r="J235" i="13" s="1"/>
  <c r="I245" i="13"/>
  <c r="J245" i="13" s="1"/>
  <c r="I248" i="13"/>
  <c r="J248" i="13" s="1"/>
  <c r="I224" i="13"/>
  <c r="J224" i="13" s="1"/>
  <c r="I208" i="13"/>
  <c r="J208" i="13" s="1"/>
  <c r="I222" i="13"/>
  <c r="J222" i="13" s="1"/>
  <c r="I225" i="13"/>
  <c r="J225" i="13" s="1"/>
  <c r="I234" i="13"/>
  <c r="J234" i="13" s="1"/>
  <c r="I243" i="13"/>
  <c r="J243" i="13" s="1"/>
  <c r="I231" i="13"/>
  <c r="J231" i="13" s="1"/>
  <c r="I207" i="13"/>
  <c r="J207" i="13" s="1"/>
  <c r="I247" i="13"/>
  <c r="J247" i="13" s="1"/>
  <c r="I242" i="13"/>
  <c r="J242" i="13" s="1"/>
  <c r="I215" i="13"/>
  <c r="J215" i="13" s="1"/>
  <c r="I228" i="13"/>
  <c r="J228" i="13" s="1"/>
  <c r="I200" i="13"/>
  <c r="I212" i="13"/>
  <c r="J212" i="13" s="1"/>
  <c r="I205" i="13"/>
  <c r="J205" i="13" s="1"/>
  <c r="I236" i="13"/>
  <c r="J236" i="13" s="1"/>
  <c r="I203" i="13"/>
  <c r="J203" i="13" s="1"/>
  <c r="I199" i="13"/>
  <c r="I239" i="13"/>
  <c r="J239" i="13" s="1"/>
  <c r="I192" i="13"/>
  <c r="I241" i="13"/>
  <c r="J241" i="13" s="1"/>
  <c r="I240" i="13"/>
  <c r="J240" i="13" s="1"/>
  <c r="I213" i="13"/>
  <c r="J213" i="13" s="1"/>
  <c r="I197" i="13"/>
  <c r="I220" i="13"/>
  <c r="J220" i="13" s="1"/>
  <c r="I238" i="13"/>
  <c r="J238" i="13" s="1"/>
  <c r="I193" i="13"/>
  <c r="I202" i="13"/>
  <c r="I221" i="13"/>
  <c r="J221" i="13" s="1"/>
  <c r="I244" i="13"/>
  <c r="J244" i="13" s="1"/>
  <c r="I232" i="13"/>
  <c r="J232" i="13" s="1"/>
  <c r="I195" i="13"/>
  <c r="I190" i="13"/>
  <c r="I204" i="13"/>
  <c r="J204" i="13" s="1"/>
  <c r="I211" i="13"/>
  <c r="J211" i="13" s="1"/>
  <c r="I246" i="13"/>
  <c r="J246" i="13" s="1"/>
  <c r="I230" i="13"/>
  <c r="J230" i="13" s="1"/>
  <c r="I191" i="13"/>
  <c r="G1587" i="20"/>
  <c r="M1062" i="13"/>
  <c r="M1042" i="13"/>
  <c r="M1043" i="13" s="1"/>
  <c r="I1056" i="13"/>
  <c r="I1059" i="13"/>
  <c r="I1100" i="13"/>
  <c r="J1100" i="13" s="1"/>
  <c r="I1105" i="13"/>
  <c r="J1105" i="13" s="1"/>
  <c r="I1094" i="13"/>
  <c r="J1094" i="13" s="1"/>
  <c r="I1081" i="13"/>
  <c r="J1081" i="13" s="1"/>
  <c r="I1060" i="13"/>
  <c r="I1103" i="13"/>
  <c r="J1103" i="13" s="1"/>
  <c r="I1057" i="13"/>
  <c r="I1072" i="13"/>
  <c r="J1072" i="13" s="1"/>
  <c r="I1086" i="13"/>
  <c r="J1086" i="13" s="1"/>
  <c r="I1076" i="13"/>
  <c r="J1076" i="13" s="1"/>
  <c r="I1071" i="13"/>
  <c r="J1071" i="13" s="1"/>
  <c r="I1062" i="13"/>
  <c r="I1090" i="13"/>
  <c r="J1090" i="13" s="1"/>
  <c r="I1065" i="13"/>
  <c r="J1065" i="13" s="1"/>
  <c r="I1070" i="13"/>
  <c r="J1070" i="13" s="1"/>
  <c r="I1078" i="13"/>
  <c r="J1078" i="13" s="1"/>
  <c r="I1104" i="13"/>
  <c r="J1104" i="13" s="1"/>
  <c r="I1092" i="13"/>
  <c r="J1092" i="13" s="1"/>
  <c r="I1080" i="13"/>
  <c r="J1080" i="13" s="1"/>
  <c r="I1082" i="13"/>
  <c r="J1082" i="13" s="1"/>
  <c r="I1106" i="13"/>
  <c r="J1106" i="13" s="1"/>
  <c r="I1097" i="13"/>
  <c r="J1097" i="13" s="1"/>
  <c r="I1087" i="13"/>
  <c r="J1087" i="13" s="1"/>
  <c r="I1112" i="13"/>
  <c r="J1112" i="13" s="1"/>
  <c r="I1069" i="13"/>
  <c r="J1069" i="13" s="1"/>
  <c r="I1107" i="13"/>
  <c r="J1107" i="13" s="1"/>
  <c r="I1110" i="13"/>
  <c r="J1110" i="13" s="1"/>
  <c r="I1075" i="13"/>
  <c r="J1075" i="13" s="1"/>
  <c r="I1085" i="13"/>
  <c r="J1085" i="13" s="1"/>
  <c r="I1084" i="13"/>
  <c r="J1084" i="13" s="1"/>
  <c r="I1095" i="13"/>
  <c r="J1095" i="13" s="1"/>
  <c r="I1099" i="13"/>
  <c r="J1099" i="13" s="1"/>
  <c r="I1102" i="13"/>
  <c r="J1102" i="13" s="1"/>
  <c r="I1061" i="13"/>
  <c r="I1067" i="13"/>
  <c r="J1067" i="13" s="1"/>
  <c r="I1093" i="13"/>
  <c r="J1093" i="13" s="1"/>
  <c r="I1063" i="13"/>
  <c r="I1101" i="13"/>
  <c r="J1101" i="13" s="1"/>
  <c r="I1098" i="13"/>
  <c r="J1098" i="13" s="1"/>
  <c r="I1053" i="13"/>
  <c r="I1054" i="13"/>
  <c r="I1068" i="13"/>
  <c r="J1068" i="13" s="1"/>
  <c r="I1108" i="13"/>
  <c r="J1108" i="13" s="1"/>
  <c r="I1064" i="13"/>
  <c r="J1064" i="13" s="1"/>
  <c r="I1077" i="13"/>
  <c r="J1077" i="13" s="1"/>
  <c r="I1055" i="13"/>
  <c r="I1058" i="13"/>
  <c r="I1079" i="13"/>
  <c r="J1079" i="13" s="1"/>
  <c r="I1109" i="13"/>
  <c r="J1109" i="13" s="1"/>
  <c r="I1066" i="13"/>
  <c r="J1066" i="13" s="1"/>
  <c r="I1089" i="13"/>
  <c r="J1089" i="13" s="1"/>
  <c r="I1073" i="13"/>
  <c r="J1073" i="13" s="1"/>
  <c r="I1088" i="13"/>
  <c r="J1088" i="13" s="1"/>
  <c r="I1091" i="13"/>
  <c r="J1091" i="13" s="1"/>
  <c r="I1083" i="13"/>
  <c r="J1083" i="13" s="1"/>
  <c r="I1074" i="13"/>
  <c r="J1074" i="13" s="1"/>
  <c r="I1111" i="13"/>
  <c r="J1111" i="13" s="1"/>
  <c r="I1096" i="13"/>
  <c r="J1096" i="13" s="1"/>
  <c r="H661" i="20"/>
  <c r="I661" i="20" s="1"/>
  <c r="H665" i="20"/>
  <c r="I665" i="20" s="1"/>
  <c r="H644" i="20"/>
  <c r="I644" i="20" s="1"/>
  <c r="H681" i="20"/>
  <c r="I681" i="20" s="1"/>
  <c r="H660" i="20"/>
  <c r="I660" i="20" s="1"/>
  <c r="H642" i="20"/>
  <c r="H691" i="20"/>
  <c r="I691" i="20" s="1"/>
  <c r="H649" i="20"/>
  <c r="I649" i="20" s="1"/>
  <c r="H650" i="20"/>
  <c r="I650" i="20" s="1"/>
  <c r="H672" i="20"/>
  <c r="I672" i="20" s="1"/>
  <c r="H668" i="20"/>
  <c r="I668" i="20" s="1"/>
  <c r="H643" i="20"/>
  <c r="I643" i="20" s="1"/>
  <c r="H651" i="20"/>
  <c r="I651" i="20" s="1"/>
  <c r="H637" i="20"/>
  <c r="H669" i="20"/>
  <c r="I669" i="20" s="1"/>
  <c r="H683" i="20"/>
  <c r="I683" i="20" s="1"/>
  <c r="H656" i="20"/>
  <c r="I656" i="20" s="1"/>
  <c r="H645" i="20"/>
  <c r="I645" i="20" s="1"/>
  <c r="H671" i="20"/>
  <c r="I671" i="20" s="1"/>
  <c r="H692" i="20"/>
  <c r="I692" i="20" s="1"/>
  <c r="H639" i="20"/>
  <c r="I639" i="20" s="1"/>
  <c r="H688" i="20"/>
  <c r="I688" i="20" s="1"/>
  <c r="H655" i="20"/>
  <c r="I655" i="20" s="1"/>
  <c r="H666" i="20"/>
  <c r="I666" i="20" s="1"/>
  <c r="H674" i="20"/>
  <c r="I674" i="20" s="1"/>
  <c r="H682" i="20"/>
  <c r="I682" i="20" s="1"/>
  <c r="H663" i="20"/>
  <c r="I663" i="20" s="1"/>
  <c r="H653" i="20"/>
  <c r="I653" i="20" s="1"/>
  <c r="H694" i="20"/>
  <c r="I694" i="20" s="1"/>
  <c r="H662" i="20"/>
  <c r="I662" i="20" s="1"/>
  <c r="H680" i="20"/>
  <c r="I680" i="20" s="1"/>
  <c r="H675" i="20"/>
  <c r="I675" i="20" s="1"/>
  <c r="H638" i="20"/>
  <c r="I638" i="20" s="1"/>
  <c r="H676" i="20"/>
  <c r="I676" i="20" s="1"/>
  <c r="H648" i="20"/>
  <c r="I648" i="20" s="1"/>
  <c r="H690" i="20"/>
  <c r="I690" i="20" s="1"/>
  <c r="H658" i="20"/>
  <c r="I658" i="20" s="1"/>
  <c r="H686" i="20"/>
  <c r="I686" i="20" s="1"/>
  <c r="H667" i="20"/>
  <c r="I667" i="20" s="1"/>
  <c r="H670" i="20"/>
  <c r="I670" i="20" s="1"/>
  <c r="H696" i="20"/>
  <c r="I696" i="20" s="1"/>
  <c r="H685" i="20"/>
  <c r="I685" i="20" s="1"/>
  <c r="H689" i="20"/>
  <c r="I689" i="20" s="1"/>
  <c r="H684" i="20"/>
  <c r="I684" i="20" s="1"/>
  <c r="H693" i="20"/>
  <c r="I693" i="20" s="1"/>
  <c r="H659" i="20"/>
  <c r="I659" i="20" s="1"/>
  <c r="H652" i="20"/>
  <c r="I652" i="20" s="1"/>
  <c r="H679" i="20"/>
  <c r="I679" i="20" s="1"/>
  <c r="H678" i="20"/>
  <c r="I678" i="20" s="1"/>
  <c r="H647" i="20"/>
  <c r="I647" i="20" s="1"/>
  <c r="H677" i="20"/>
  <c r="I677" i="20" s="1"/>
  <c r="H640" i="20"/>
  <c r="I640" i="20" s="1"/>
  <c r="H687" i="20"/>
  <c r="I687" i="20" s="1"/>
  <c r="H664" i="20"/>
  <c r="I664" i="20" s="1"/>
  <c r="H646" i="20"/>
  <c r="I646" i="20" s="1"/>
  <c r="H654" i="20"/>
  <c r="I654" i="20" s="1"/>
  <c r="H673" i="20"/>
  <c r="I673" i="20" s="1"/>
  <c r="H641" i="20"/>
  <c r="I641" i="20" s="1"/>
  <c r="H695" i="20"/>
  <c r="I695" i="20" s="1"/>
  <c r="H657" i="20"/>
  <c r="I657" i="20" s="1"/>
  <c r="H758" i="20"/>
  <c r="I758" i="20" s="1"/>
  <c r="H734" i="20"/>
  <c r="I734" i="20" s="1"/>
  <c r="H732" i="20"/>
  <c r="I732" i="20" s="1"/>
  <c r="H768" i="20"/>
  <c r="I768" i="20" s="1"/>
  <c r="H744" i="20"/>
  <c r="I744" i="20" s="1"/>
  <c r="H741" i="20"/>
  <c r="I741" i="20" s="1"/>
  <c r="H738" i="20"/>
  <c r="I738" i="20" s="1"/>
  <c r="H746" i="20"/>
  <c r="I746" i="20" s="1"/>
  <c r="H764" i="20"/>
  <c r="I764" i="20" s="1"/>
  <c r="H731" i="20"/>
  <c r="H733" i="20"/>
  <c r="I733" i="20" s="1"/>
  <c r="H777" i="20"/>
  <c r="I777" i="20" s="1"/>
  <c r="H756" i="20"/>
  <c r="I756" i="20" s="1"/>
  <c r="H752" i="20"/>
  <c r="I752" i="20" s="1"/>
  <c r="H778" i="20"/>
  <c r="I778" i="20" s="1"/>
  <c r="H784" i="20"/>
  <c r="I784" i="20" s="1"/>
  <c r="H782" i="20"/>
  <c r="I782" i="20" s="1"/>
  <c r="H729" i="20"/>
  <c r="I729" i="20" s="1"/>
  <c r="H776" i="20"/>
  <c r="I776" i="20" s="1"/>
  <c r="H773" i="20"/>
  <c r="I773" i="20" s="1"/>
  <c r="H774" i="20"/>
  <c r="I774" i="20" s="1"/>
  <c r="H747" i="20"/>
  <c r="I747" i="20" s="1"/>
  <c r="H781" i="20"/>
  <c r="I781" i="20" s="1"/>
  <c r="H772" i="20"/>
  <c r="I772" i="20" s="1"/>
  <c r="H736" i="20"/>
  <c r="I736" i="20" s="1"/>
  <c r="H763" i="20"/>
  <c r="I763" i="20" s="1"/>
  <c r="H757" i="20"/>
  <c r="I757" i="20" s="1"/>
  <c r="H740" i="20"/>
  <c r="I740" i="20" s="1"/>
  <c r="H766" i="20"/>
  <c r="I766" i="20" s="1"/>
  <c r="H780" i="20"/>
  <c r="I780" i="20" s="1"/>
  <c r="H739" i="20"/>
  <c r="I739" i="20" s="1"/>
  <c r="H767" i="20"/>
  <c r="I767" i="20" s="1"/>
  <c r="H770" i="20"/>
  <c r="I770" i="20" s="1"/>
  <c r="H737" i="20"/>
  <c r="I737" i="20" s="1"/>
  <c r="H761" i="20"/>
  <c r="I761" i="20" s="1"/>
  <c r="H775" i="20"/>
  <c r="I775" i="20" s="1"/>
  <c r="H769" i="20"/>
  <c r="I769" i="20" s="1"/>
  <c r="H779" i="20"/>
  <c r="I779" i="20" s="1"/>
  <c r="H783" i="20"/>
  <c r="I783" i="20" s="1"/>
  <c r="H745" i="20"/>
  <c r="I745" i="20" s="1"/>
  <c r="H759" i="20"/>
  <c r="I759" i="20" s="1"/>
  <c r="H742" i="20"/>
  <c r="I742" i="20" s="1"/>
  <c r="H750" i="20"/>
  <c r="I750" i="20" s="1"/>
  <c r="H727" i="20"/>
  <c r="I727" i="20" s="1"/>
  <c r="H726" i="20"/>
  <c r="H754" i="20"/>
  <c r="I754" i="20" s="1"/>
  <c r="H760" i="20"/>
  <c r="I760" i="20" s="1"/>
  <c r="H749" i="20"/>
  <c r="I749" i="20" s="1"/>
  <c r="H762" i="20"/>
  <c r="I762" i="20" s="1"/>
  <c r="H730" i="20"/>
  <c r="I730" i="20" s="1"/>
  <c r="H728" i="20"/>
  <c r="I728" i="20" s="1"/>
  <c r="H743" i="20"/>
  <c r="I743" i="20" s="1"/>
  <c r="H753" i="20"/>
  <c r="I753" i="20" s="1"/>
  <c r="H735" i="20"/>
  <c r="I735" i="20" s="1"/>
  <c r="H751" i="20"/>
  <c r="I751" i="20" s="1"/>
  <c r="H765" i="20"/>
  <c r="I765" i="20" s="1"/>
  <c r="H755" i="20"/>
  <c r="I755" i="20" s="1"/>
  <c r="H748" i="20"/>
  <c r="I748" i="20" s="1"/>
  <c r="H785" i="20"/>
  <c r="I785" i="20" s="1"/>
  <c r="H771" i="20"/>
  <c r="I771" i="20" s="1"/>
  <c r="M630" i="13"/>
  <c r="M608" i="13"/>
  <c r="M609" i="13" s="1"/>
  <c r="M892" i="13"/>
  <c r="M870" i="13"/>
  <c r="M871" i="13" s="1"/>
  <c r="M102" i="13"/>
  <c r="H162" i="13"/>
  <c r="H1629" i="13"/>
  <c r="M1569" i="13"/>
  <c r="G1320" i="20"/>
  <c r="I1370" i="13"/>
  <c r="J1370" i="13" s="1"/>
  <c r="I1322" i="13"/>
  <c r="J1322" i="13" s="1"/>
  <c r="I1330" i="13"/>
  <c r="J1330" i="13" s="1"/>
  <c r="I1353" i="13"/>
  <c r="J1353" i="13" s="1"/>
  <c r="I1337" i="13"/>
  <c r="J1337" i="13" s="1"/>
  <c r="I1317" i="13"/>
  <c r="I1346" i="13"/>
  <c r="J1346" i="13" s="1"/>
  <c r="I1342" i="13"/>
  <c r="J1342" i="13" s="1"/>
  <c r="I1325" i="13"/>
  <c r="J1325" i="13" s="1"/>
  <c r="I1339" i="13"/>
  <c r="J1339" i="13" s="1"/>
  <c r="I1313" i="13"/>
  <c r="I1316" i="13"/>
  <c r="I1341" i="13"/>
  <c r="J1341" i="13" s="1"/>
  <c r="I1364" i="13"/>
  <c r="J1364" i="13" s="1"/>
  <c r="I1332" i="13"/>
  <c r="J1332" i="13" s="1"/>
  <c r="I1329" i="13"/>
  <c r="J1329" i="13" s="1"/>
  <c r="I1351" i="13"/>
  <c r="J1351" i="13" s="1"/>
  <c r="I1311" i="13"/>
  <c r="I1338" i="13"/>
  <c r="J1338" i="13" s="1"/>
  <c r="I1366" i="13"/>
  <c r="J1366" i="13" s="1"/>
  <c r="I1369" i="13"/>
  <c r="J1369" i="13" s="1"/>
  <c r="I1328" i="13"/>
  <c r="J1328" i="13" s="1"/>
  <c r="I1340" i="13"/>
  <c r="J1340" i="13" s="1"/>
  <c r="I1358" i="13"/>
  <c r="J1358" i="13" s="1"/>
  <c r="I1363" i="13"/>
  <c r="J1363" i="13" s="1"/>
  <c r="I1331" i="13"/>
  <c r="J1331" i="13" s="1"/>
  <c r="I1318" i="13"/>
  <c r="I1334" i="13"/>
  <c r="J1334" i="13" s="1"/>
  <c r="I1312" i="13"/>
  <c r="I1336" i="13"/>
  <c r="J1336" i="13" s="1"/>
  <c r="I1365" i="13"/>
  <c r="J1365" i="13" s="1"/>
  <c r="I1343" i="13"/>
  <c r="J1343" i="13" s="1"/>
  <c r="I1327" i="13"/>
  <c r="J1327" i="13" s="1"/>
  <c r="I1314" i="13"/>
  <c r="I1347" i="13"/>
  <c r="J1347" i="13" s="1"/>
  <c r="I1350" i="13"/>
  <c r="J1350" i="13" s="1"/>
  <c r="I1355" i="13"/>
  <c r="J1355" i="13" s="1"/>
  <c r="I1324" i="13"/>
  <c r="J1324" i="13" s="1"/>
  <c r="I1344" i="13"/>
  <c r="J1344" i="13" s="1"/>
  <c r="I1362" i="13"/>
  <c r="J1362" i="13" s="1"/>
  <c r="I1354" i="13"/>
  <c r="J1354" i="13" s="1"/>
  <c r="I1360" i="13"/>
  <c r="J1360" i="13" s="1"/>
  <c r="I1348" i="13"/>
  <c r="J1348" i="13" s="1"/>
  <c r="I1359" i="13"/>
  <c r="J1359" i="13" s="1"/>
  <c r="I1352" i="13"/>
  <c r="J1352" i="13" s="1"/>
  <c r="I1333" i="13"/>
  <c r="J1333" i="13" s="1"/>
  <c r="I1326" i="13"/>
  <c r="J1326" i="13" s="1"/>
  <c r="I1323" i="13"/>
  <c r="J1323" i="13" s="1"/>
  <c r="I1349" i="13"/>
  <c r="J1349" i="13" s="1"/>
  <c r="I1315" i="13"/>
  <c r="I1345" i="13"/>
  <c r="J1345" i="13" s="1"/>
  <c r="I1361" i="13"/>
  <c r="J1361" i="13" s="1"/>
  <c r="I1321" i="13"/>
  <c r="I1320" i="13"/>
  <c r="I1335" i="13"/>
  <c r="J1335" i="13" s="1"/>
  <c r="I1356" i="13"/>
  <c r="J1356" i="13" s="1"/>
  <c r="I1319" i="13"/>
  <c r="I1367" i="13"/>
  <c r="J1367" i="13" s="1"/>
  <c r="I1357" i="13"/>
  <c r="J1357" i="13" s="1"/>
  <c r="I1368" i="13"/>
  <c r="J1368" i="13" s="1"/>
  <c r="G786" i="20"/>
  <c r="G2033" i="20"/>
  <c r="G1676" i="20"/>
  <c r="M361" i="13"/>
  <c r="H421" i="13"/>
  <c r="M91" i="13"/>
  <c r="M117" i="13"/>
  <c r="H1887" i="13"/>
  <c r="M1406" i="13"/>
  <c r="M1386" i="13"/>
  <c r="M1387" i="13" s="1"/>
  <c r="H335" i="13"/>
  <c r="M275" i="13"/>
  <c r="G1053" i="20"/>
  <c r="H249" i="13"/>
  <c r="M189" i="13"/>
  <c r="M1320" i="13"/>
  <c r="M1300" i="13"/>
  <c r="M1301" i="13" s="1"/>
  <c r="H1371" i="13"/>
  <c r="M1311" i="13"/>
  <c r="H409" i="20"/>
  <c r="I409" i="20" s="1"/>
  <c r="H422" i="20"/>
  <c r="I422" i="20" s="1"/>
  <c r="H398" i="20"/>
  <c r="I398" i="20" s="1"/>
  <c r="H405" i="20"/>
  <c r="I405" i="20" s="1"/>
  <c r="H417" i="20"/>
  <c r="I417" i="20" s="1"/>
  <c r="H401" i="20"/>
  <c r="I401" i="20" s="1"/>
  <c r="H393" i="20"/>
  <c r="I393" i="20" s="1"/>
  <c r="H396" i="20"/>
  <c r="I396" i="20" s="1"/>
  <c r="H375" i="20"/>
  <c r="H427" i="20"/>
  <c r="I427" i="20" s="1"/>
  <c r="H379" i="20"/>
  <c r="I379" i="20" s="1"/>
  <c r="H407" i="20"/>
  <c r="I407" i="20" s="1"/>
  <c r="H386" i="20"/>
  <c r="I386" i="20" s="1"/>
  <c r="H394" i="20"/>
  <c r="I394" i="20" s="1"/>
  <c r="H403" i="20"/>
  <c r="I403" i="20" s="1"/>
  <c r="H378" i="20"/>
  <c r="I378" i="20" s="1"/>
  <c r="H428" i="20"/>
  <c r="I428" i="20" s="1"/>
  <c r="H420" i="20"/>
  <c r="I420" i="20" s="1"/>
  <c r="H371" i="20"/>
  <c r="I371" i="20" s="1"/>
  <c r="H412" i="20"/>
  <c r="I412" i="20" s="1"/>
  <c r="H406" i="20"/>
  <c r="I406" i="20" s="1"/>
  <c r="H388" i="20"/>
  <c r="I388" i="20" s="1"/>
  <c r="H419" i="20"/>
  <c r="I419" i="20" s="1"/>
  <c r="H416" i="20"/>
  <c r="I416" i="20" s="1"/>
  <c r="H410" i="20"/>
  <c r="I410" i="20" s="1"/>
  <c r="H404" i="20"/>
  <c r="I404" i="20" s="1"/>
  <c r="H385" i="20"/>
  <c r="I385" i="20" s="1"/>
  <c r="H397" i="20"/>
  <c r="I397" i="20" s="1"/>
  <c r="H370" i="20"/>
  <c r="H384" i="20"/>
  <c r="I384" i="20" s="1"/>
  <c r="H391" i="20"/>
  <c r="I391" i="20" s="1"/>
  <c r="H421" i="20"/>
  <c r="I421" i="20" s="1"/>
  <c r="H413" i="20"/>
  <c r="I413" i="20" s="1"/>
  <c r="H424" i="20"/>
  <c r="I424" i="20" s="1"/>
  <c r="H408" i="20"/>
  <c r="I408" i="20" s="1"/>
  <c r="H426" i="20"/>
  <c r="I426" i="20" s="1"/>
  <c r="H374" i="20"/>
  <c r="I374" i="20" s="1"/>
  <c r="H414" i="20"/>
  <c r="I414" i="20" s="1"/>
  <c r="H411" i="20"/>
  <c r="I411" i="20" s="1"/>
  <c r="H381" i="20"/>
  <c r="I381" i="20" s="1"/>
  <c r="H382" i="20"/>
  <c r="I382" i="20" s="1"/>
  <c r="H390" i="20"/>
  <c r="I390" i="20" s="1"/>
  <c r="H380" i="20"/>
  <c r="I380" i="20" s="1"/>
  <c r="H373" i="20"/>
  <c r="I373" i="20" s="1"/>
  <c r="H399" i="20"/>
  <c r="I399" i="20" s="1"/>
  <c r="H425" i="20"/>
  <c r="I425" i="20" s="1"/>
  <c r="H400" i="20"/>
  <c r="I400" i="20" s="1"/>
  <c r="H392" i="20"/>
  <c r="I392" i="20" s="1"/>
  <c r="H372" i="20"/>
  <c r="I372" i="20" s="1"/>
  <c r="H418" i="20"/>
  <c r="I418" i="20" s="1"/>
  <c r="H377" i="20"/>
  <c r="I377" i="20" s="1"/>
  <c r="H387" i="20"/>
  <c r="I387" i="20" s="1"/>
  <c r="H402" i="20"/>
  <c r="I402" i="20" s="1"/>
  <c r="H423" i="20"/>
  <c r="I423" i="20" s="1"/>
  <c r="H415" i="20"/>
  <c r="I415" i="20" s="1"/>
  <c r="H429" i="20"/>
  <c r="I429" i="20" s="1"/>
  <c r="H389" i="20"/>
  <c r="I389" i="20" s="1"/>
  <c r="H395" i="20"/>
  <c r="I395" i="20" s="1"/>
  <c r="H383" i="20"/>
  <c r="I383" i="20" s="1"/>
  <c r="H376" i="20"/>
  <c r="I376" i="20" s="1"/>
  <c r="J2006" i="13" l="1"/>
  <c r="O2006" i="13"/>
  <c r="P2006" i="13" s="1"/>
  <c r="J1924" i="13"/>
  <c r="O1924" i="13"/>
  <c r="P1924" i="13" s="1"/>
  <c r="J1836" i="13"/>
  <c r="O1836" i="13"/>
  <c r="P1836" i="13" s="1"/>
  <c r="J1748" i="13"/>
  <c r="O1748" i="13"/>
  <c r="P1748" i="13" s="1"/>
  <c r="J1579" i="13"/>
  <c r="O1579" i="13"/>
  <c r="P1579" i="13" s="1"/>
  <c r="J1493" i="13"/>
  <c r="O1493" i="13"/>
  <c r="P1493" i="13" s="1"/>
  <c r="J1407" i="13"/>
  <c r="O1407" i="13"/>
  <c r="P1407" i="13" s="1"/>
  <c r="J1321" i="13"/>
  <c r="O1321" i="13"/>
  <c r="P1321" i="13" s="1"/>
  <c r="J1235" i="13"/>
  <c r="O1235" i="13"/>
  <c r="P1235" i="13" s="1"/>
  <c r="J1149" i="13"/>
  <c r="O1149" i="13"/>
  <c r="P1149" i="13" s="1"/>
  <c r="J1063" i="13"/>
  <c r="O1063" i="13"/>
  <c r="P1063" i="13" s="1"/>
  <c r="J893" i="13"/>
  <c r="O893" i="13"/>
  <c r="P893" i="13" s="1"/>
  <c r="J805" i="13"/>
  <c r="O805" i="13"/>
  <c r="P805" i="13" s="1"/>
  <c r="J719" i="13"/>
  <c r="O719" i="13"/>
  <c r="P719" i="13" s="1"/>
  <c r="J631" i="13"/>
  <c r="O631" i="13"/>
  <c r="P631" i="13" s="1"/>
  <c r="J542" i="13"/>
  <c r="O542" i="13"/>
  <c r="P542" i="13" s="1"/>
  <c r="J459" i="13"/>
  <c r="O459" i="13"/>
  <c r="P459" i="13" s="1"/>
  <c r="J373" i="13"/>
  <c r="O373" i="13"/>
  <c r="P373" i="13" s="1"/>
  <c r="J287" i="13"/>
  <c r="O287" i="13"/>
  <c r="P287" i="13" s="1"/>
  <c r="J202" i="13"/>
  <c r="O202" i="13"/>
  <c r="P202" i="13" s="1"/>
  <c r="J118" i="13"/>
  <c r="O118" i="13"/>
  <c r="P118" i="13" s="1"/>
  <c r="J1060" i="13"/>
  <c r="O1060" i="13"/>
  <c r="P1060" i="13" s="1"/>
  <c r="J195" i="13"/>
  <c r="O195" i="13"/>
  <c r="P195" i="13" s="1"/>
  <c r="J1742" i="13"/>
  <c r="O1742" i="13"/>
  <c r="P1742" i="13" s="1"/>
  <c r="J969" i="13"/>
  <c r="O969" i="13"/>
  <c r="P969" i="13" s="1"/>
  <c r="J621" i="13"/>
  <c r="O621" i="13"/>
  <c r="P621" i="13" s="1"/>
  <c r="O456" i="13"/>
  <c r="P456" i="13" s="1"/>
  <c r="J456" i="13"/>
  <c r="J1572" i="13"/>
  <c r="O1572" i="13"/>
  <c r="P1572" i="13" s="1"/>
  <c r="O113" i="13"/>
  <c r="P113" i="13" s="1"/>
  <c r="J113" i="13"/>
  <c r="J1828" i="13"/>
  <c r="O1828" i="13"/>
  <c r="P1828" i="13" s="1"/>
  <c r="J795" i="13"/>
  <c r="O795" i="13"/>
  <c r="P795" i="13" s="1"/>
  <c r="I855" i="13"/>
  <c r="O798" i="13"/>
  <c r="P798" i="13" s="1"/>
  <c r="J798" i="13"/>
  <c r="O1489" i="13"/>
  <c r="P1489" i="13" s="1"/>
  <c r="J1489" i="13"/>
  <c r="I335" i="13"/>
  <c r="J275" i="13"/>
  <c r="O275" i="13"/>
  <c r="P275" i="13" s="1"/>
  <c r="O1054" i="13"/>
  <c r="P1054" i="13" s="1"/>
  <c r="J1054" i="13"/>
  <c r="J192" i="13"/>
  <c r="O192" i="13"/>
  <c r="P192" i="13" s="1"/>
  <c r="J971" i="13"/>
  <c r="O971" i="13"/>
  <c r="P971" i="13" s="1"/>
  <c r="O625" i="13"/>
  <c r="P625" i="13" s="1"/>
  <c r="J625" i="13"/>
  <c r="O535" i="13"/>
  <c r="P535" i="13" s="1"/>
  <c r="J535" i="13"/>
  <c r="J1577" i="13"/>
  <c r="O1577" i="13"/>
  <c r="P1577" i="13" s="1"/>
  <c r="I459" i="20"/>
  <c r="H519" i="20"/>
  <c r="J1664" i="13"/>
  <c r="N1644" i="13"/>
  <c r="J109" i="13"/>
  <c r="O109" i="13"/>
  <c r="P109" i="13" s="1"/>
  <c r="O102" i="13"/>
  <c r="P102" i="13" s="1"/>
  <c r="J102" i="13"/>
  <c r="I162" i="13"/>
  <c r="O1232" i="13"/>
  <c r="P1232" i="13" s="1"/>
  <c r="J1232" i="13"/>
  <c r="O278" i="13"/>
  <c r="P278" i="13" s="1"/>
  <c r="J278" i="13"/>
  <c r="O286" i="13"/>
  <c r="P286" i="13" s="1"/>
  <c r="N264" i="13"/>
  <c r="J286" i="13"/>
  <c r="J1318" i="13"/>
  <c r="O1318" i="13"/>
  <c r="P1318" i="13" s="1"/>
  <c r="J1313" i="13"/>
  <c r="O1313" i="13"/>
  <c r="P1313" i="13" s="1"/>
  <c r="J1055" i="13"/>
  <c r="O1055" i="13"/>
  <c r="P1055" i="13" s="1"/>
  <c r="J190" i="13"/>
  <c r="O190" i="13"/>
  <c r="P190" i="13" s="1"/>
  <c r="J194" i="13"/>
  <c r="O194" i="13"/>
  <c r="P194" i="13" s="1"/>
  <c r="J1923" i="13"/>
  <c r="N1902" i="13"/>
  <c r="O1923" i="13"/>
  <c r="P1923" i="13" s="1"/>
  <c r="O363" i="13"/>
  <c r="P363" i="13" s="1"/>
  <c r="J363" i="13"/>
  <c r="J369" i="13"/>
  <c r="O369" i="13"/>
  <c r="P369" i="13" s="1"/>
  <c r="I421" i="13"/>
  <c r="J361" i="13"/>
  <c r="O361" i="13"/>
  <c r="P361" i="13" s="1"/>
  <c r="J968" i="13"/>
  <c r="O968" i="13"/>
  <c r="P968" i="13" s="1"/>
  <c r="J967" i="13"/>
  <c r="I1027" i="13"/>
  <c r="O967" i="13"/>
  <c r="P967" i="13" s="1"/>
  <c r="O623" i="13"/>
  <c r="P623" i="13" s="1"/>
  <c r="J623" i="13"/>
  <c r="J627" i="13"/>
  <c r="O627" i="13"/>
  <c r="P627" i="13" s="1"/>
  <c r="H1587" i="20"/>
  <c r="I1527" i="20"/>
  <c r="O453" i="13"/>
  <c r="P453" i="13" s="1"/>
  <c r="J453" i="13"/>
  <c r="I1441" i="20"/>
  <c r="N1426" i="20"/>
  <c r="N1427" i="20" s="1"/>
  <c r="O1142" i="13"/>
  <c r="P1142" i="13" s="1"/>
  <c r="J1142" i="13"/>
  <c r="N981" i="20"/>
  <c r="N982" i="20" s="1"/>
  <c r="I997" i="20"/>
  <c r="O1399" i="13"/>
  <c r="P1399" i="13" s="1"/>
  <c r="J1399" i="13"/>
  <c r="J1402" i="13"/>
  <c r="O1402" i="13"/>
  <c r="P1402" i="13" s="1"/>
  <c r="H340" i="20"/>
  <c r="I280" i="20"/>
  <c r="J103" i="13"/>
  <c r="O103" i="13"/>
  <c r="P103" i="13" s="1"/>
  <c r="J116" i="13"/>
  <c r="O116" i="13"/>
  <c r="P116" i="13" s="1"/>
  <c r="O1832" i="13"/>
  <c r="P1832" i="13" s="1"/>
  <c r="J1832" i="13"/>
  <c r="J1827" i="13"/>
  <c r="I1887" i="13"/>
  <c r="O1492" i="13"/>
  <c r="P1492" i="13" s="1"/>
  <c r="N1472" i="13"/>
  <c r="J1492" i="13"/>
  <c r="J714" i="13"/>
  <c r="O714" i="13"/>
  <c r="P714" i="13" s="1"/>
  <c r="N1783" i="20"/>
  <c r="N1784" i="20" s="1"/>
  <c r="H1855" i="20"/>
  <c r="I1795" i="20"/>
  <c r="I1855" i="20" s="1"/>
  <c r="O888" i="13"/>
  <c r="P888" i="13" s="1"/>
  <c r="J888" i="13"/>
  <c r="J284" i="13"/>
  <c r="O284" i="13"/>
  <c r="P284" i="13" s="1"/>
  <c r="O280" i="13"/>
  <c r="P280" i="13" s="1"/>
  <c r="J280" i="13"/>
  <c r="J277" i="13"/>
  <c r="O277" i="13"/>
  <c r="P277" i="13" s="1"/>
  <c r="N22" i="13"/>
  <c r="M92" i="13"/>
  <c r="O1315" i="13"/>
  <c r="P1315" i="13" s="1"/>
  <c r="J1315" i="13"/>
  <c r="O1314" i="13"/>
  <c r="P1314" i="13" s="1"/>
  <c r="J1314" i="13"/>
  <c r="J1311" i="13"/>
  <c r="O1311" i="13"/>
  <c r="P1311" i="13" s="1"/>
  <c r="I1371" i="13"/>
  <c r="O619" i="13"/>
  <c r="P619" i="13" s="1"/>
  <c r="J619" i="13"/>
  <c r="I679" i="13"/>
  <c r="I593" i="13"/>
  <c r="O533" i="13"/>
  <c r="P533" i="13" s="1"/>
  <c r="J533" i="13"/>
  <c r="I507" i="13"/>
  <c r="J447" i="13"/>
  <c r="O447" i="13"/>
  <c r="P447" i="13" s="1"/>
  <c r="O448" i="13"/>
  <c r="P448" i="13" s="1"/>
  <c r="J448" i="13"/>
  <c r="H160" i="20"/>
  <c r="I100" i="20"/>
  <c r="J1228" i="13"/>
  <c r="O1228" i="13"/>
  <c r="P1228" i="13" s="1"/>
  <c r="J1319" i="13"/>
  <c r="O1319" i="13"/>
  <c r="P1319" i="13" s="1"/>
  <c r="N1042" i="13"/>
  <c r="J1062" i="13"/>
  <c r="O1062" i="13"/>
  <c r="P1062" i="13" s="1"/>
  <c r="O370" i="13"/>
  <c r="P370" i="13" s="1"/>
  <c r="J370" i="13"/>
  <c r="I1263" i="20"/>
  <c r="N1248" i="20"/>
  <c r="N1249" i="20" s="1"/>
  <c r="J539" i="13"/>
  <c r="O539" i="13"/>
  <c r="P539" i="13" s="1"/>
  <c r="O457" i="13"/>
  <c r="P457" i="13" s="1"/>
  <c r="J457" i="13"/>
  <c r="I1977" i="20"/>
  <c r="N1961" i="20"/>
  <c r="N1962" i="20" s="1"/>
  <c r="N1989" i="13"/>
  <c r="J2005" i="13"/>
  <c r="O2005" i="13"/>
  <c r="P2005" i="13" s="1"/>
  <c r="J1139" i="13"/>
  <c r="I1199" i="13"/>
  <c r="O1139" i="13"/>
  <c r="P1139" i="13" s="1"/>
  <c r="N88" i="20"/>
  <c r="I109" i="20"/>
  <c r="O106" i="13"/>
  <c r="P106" i="13" s="1"/>
  <c r="J106" i="13"/>
  <c r="J107" i="13"/>
  <c r="O107" i="13"/>
  <c r="P107" i="13" s="1"/>
  <c r="O1830" i="13"/>
  <c r="P1830" i="13" s="1"/>
  <c r="J1830" i="13"/>
  <c r="O709" i="13"/>
  <c r="P709" i="13" s="1"/>
  <c r="J709" i="13"/>
  <c r="J887" i="13"/>
  <c r="O887" i="13"/>
  <c r="P887" i="13" s="1"/>
  <c r="I375" i="20"/>
  <c r="N358" i="20"/>
  <c r="N359" i="20" s="1"/>
  <c r="H786" i="20"/>
  <c r="I726" i="20"/>
  <c r="J191" i="13"/>
  <c r="O191" i="13"/>
  <c r="P191" i="13" s="1"/>
  <c r="H1409" i="20"/>
  <c r="I1349" i="20"/>
  <c r="H1231" i="20"/>
  <c r="I1171" i="20"/>
  <c r="J1919" i="13"/>
  <c r="O1919" i="13"/>
  <c r="P1919" i="13" s="1"/>
  <c r="J970" i="13"/>
  <c r="O970" i="13"/>
  <c r="P970" i="13" s="1"/>
  <c r="O624" i="13"/>
  <c r="P624" i="13" s="1"/>
  <c r="J624" i="13"/>
  <c r="J534" i="13"/>
  <c r="O534" i="13"/>
  <c r="P534" i="13" s="1"/>
  <c r="O454" i="13"/>
  <c r="P454" i="13" s="1"/>
  <c r="J454" i="13"/>
  <c r="O450" i="13"/>
  <c r="P450" i="13" s="1"/>
  <c r="J450" i="13"/>
  <c r="N1872" i="20"/>
  <c r="N1873" i="20" s="1"/>
  <c r="I1886" i="20"/>
  <c r="O2001" i="13"/>
  <c r="P2001" i="13" s="1"/>
  <c r="J2001" i="13"/>
  <c r="J2000" i="13"/>
  <c r="I2060" i="13"/>
  <c r="O2000" i="13"/>
  <c r="P2000" i="13" s="1"/>
  <c r="O1570" i="13"/>
  <c r="P1570" i="13" s="1"/>
  <c r="J1570" i="13"/>
  <c r="N1558" i="13"/>
  <c r="O1578" i="13"/>
  <c r="P1578" i="13" s="1"/>
  <c r="J1578" i="13"/>
  <c r="I464" i="20"/>
  <c r="N447" i="20"/>
  <c r="N448" i="20" s="1"/>
  <c r="O1656" i="13"/>
  <c r="P1656" i="13" s="1"/>
  <c r="J1656" i="13"/>
  <c r="J1148" i="13"/>
  <c r="O1148" i="13"/>
  <c r="P1148" i="13" s="1"/>
  <c r="N1128" i="13"/>
  <c r="O1144" i="13"/>
  <c r="P1144" i="13" s="1"/>
  <c r="J1144" i="13"/>
  <c r="H1053" i="20"/>
  <c r="I993" i="20"/>
  <c r="O803" i="13"/>
  <c r="P803" i="13" s="1"/>
  <c r="J803" i="13"/>
  <c r="O1488" i="13"/>
  <c r="P1488" i="13" s="1"/>
  <c r="J1488" i="13"/>
  <c r="O1486" i="13"/>
  <c r="P1486" i="13" s="1"/>
  <c r="J1486" i="13"/>
  <c r="O1230" i="13"/>
  <c r="P1230" i="13" s="1"/>
  <c r="J1230" i="13"/>
  <c r="J1227" i="13"/>
  <c r="O1227" i="13"/>
  <c r="P1227" i="13" s="1"/>
  <c r="J707" i="13"/>
  <c r="I767" i="13"/>
  <c r="O707" i="13"/>
  <c r="P707" i="13" s="1"/>
  <c r="O710" i="13"/>
  <c r="P710" i="13" s="1"/>
  <c r="J710" i="13"/>
  <c r="J884" i="13"/>
  <c r="O884" i="13"/>
  <c r="P884" i="13" s="1"/>
  <c r="O1922" i="13"/>
  <c r="P1922" i="13" s="1"/>
  <c r="J1922" i="13"/>
  <c r="J1921" i="13"/>
  <c r="O1921" i="13"/>
  <c r="P1921" i="13" s="1"/>
  <c r="J977" i="13"/>
  <c r="N956" i="13"/>
  <c r="H1320" i="20"/>
  <c r="I1260" i="20"/>
  <c r="O538" i="13"/>
  <c r="P538" i="13" s="1"/>
  <c r="J538" i="13"/>
  <c r="O1576" i="13"/>
  <c r="P1576" i="13" s="1"/>
  <c r="J1576" i="13"/>
  <c r="O1574" i="13"/>
  <c r="P1574" i="13" s="1"/>
  <c r="J1574" i="13"/>
  <c r="I1715" i="13"/>
  <c r="J1655" i="13"/>
  <c r="J1140" i="13"/>
  <c r="O1140" i="13"/>
  <c r="P1140" i="13" s="1"/>
  <c r="J1403" i="13"/>
  <c r="O1403" i="13"/>
  <c r="P1403" i="13" s="1"/>
  <c r="J1835" i="13"/>
  <c r="O1835" i="13"/>
  <c r="P1835" i="13" s="1"/>
  <c r="N1816" i="13"/>
  <c r="O1829" i="13"/>
  <c r="P1829" i="13" s="1"/>
  <c r="J1829" i="13"/>
  <c r="N784" i="13"/>
  <c r="O804" i="13"/>
  <c r="P804" i="13" s="1"/>
  <c r="J804" i="13"/>
  <c r="H250" i="20"/>
  <c r="I190" i="20"/>
  <c r="J1061" i="13"/>
  <c r="O1061" i="13"/>
  <c r="P1061" i="13" s="1"/>
  <c r="O200" i="13"/>
  <c r="P200" i="13" s="1"/>
  <c r="J200" i="13"/>
  <c r="J1745" i="13"/>
  <c r="O1745" i="13"/>
  <c r="P1745" i="13" s="1"/>
  <c r="O1743" i="13"/>
  <c r="P1743" i="13" s="1"/>
  <c r="J1743" i="13"/>
  <c r="O1918" i="13"/>
  <c r="P1918" i="13" s="1"/>
  <c r="J1918" i="13"/>
  <c r="J366" i="13"/>
  <c r="O366" i="13"/>
  <c r="P366" i="13" s="1"/>
  <c r="O362" i="13"/>
  <c r="P362" i="13" s="1"/>
  <c r="J362" i="13"/>
  <c r="I1616" i="20"/>
  <c r="H1676" i="20"/>
  <c r="O629" i="13"/>
  <c r="P629" i="13" s="1"/>
  <c r="J629" i="13"/>
  <c r="J620" i="13"/>
  <c r="O620" i="13"/>
  <c r="P620" i="13" s="1"/>
  <c r="O541" i="13"/>
  <c r="P541" i="13" s="1"/>
  <c r="J541" i="13"/>
  <c r="N522" i="13"/>
  <c r="O537" i="13"/>
  <c r="P537" i="13" s="1"/>
  <c r="J537" i="13"/>
  <c r="O451" i="13"/>
  <c r="P451" i="13" s="1"/>
  <c r="J451" i="13"/>
  <c r="O452" i="13"/>
  <c r="P452" i="13" s="1"/>
  <c r="J452" i="13"/>
  <c r="J458" i="13"/>
  <c r="N436" i="13"/>
  <c r="O458" i="13"/>
  <c r="P458" i="13" s="1"/>
  <c r="H964" i="20"/>
  <c r="I904" i="20"/>
  <c r="I1438" i="20"/>
  <c r="H1498" i="20"/>
  <c r="O1569" i="13"/>
  <c r="P1569" i="13" s="1"/>
  <c r="J1569" i="13"/>
  <c r="I1629" i="13"/>
  <c r="O1147" i="13"/>
  <c r="P1147" i="13" s="1"/>
  <c r="J1147" i="13"/>
  <c r="I285" i="20"/>
  <c r="N268" i="20"/>
  <c r="N269" i="20" s="1"/>
  <c r="O117" i="13"/>
  <c r="P117" i="13" s="1"/>
  <c r="J117" i="13"/>
  <c r="N91" i="13"/>
  <c r="J110" i="13"/>
  <c r="O110" i="13"/>
  <c r="P110" i="13" s="1"/>
  <c r="O112" i="13"/>
  <c r="P112" i="13" s="1"/>
  <c r="J112" i="13"/>
  <c r="O1833" i="13"/>
  <c r="P1833" i="13" s="1"/>
  <c r="J1833" i="13"/>
  <c r="J1831" i="13"/>
  <c r="O1831" i="13"/>
  <c r="P1831" i="13" s="1"/>
  <c r="O799" i="13"/>
  <c r="P799" i="13" s="1"/>
  <c r="J799" i="13"/>
  <c r="O796" i="13"/>
  <c r="P796" i="13" s="1"/>
  <c r="J796" i="13"/>
  <c r="O801" i="13"/>
  <c r="P801" i="13" s="1"/>
  <c r="J801" i="13"/>
  <c r="O1491" i="13"/>
  <c r="P1491" i="13" s="1"/>
  <c r="J1491" i="13"/>
  <c r="O1229" i="13"/>
  <c r="P1229" i="13" s="1"/>
  <c r="J1229" i="13"/>
  <c r="N1214" i="13"/>
  <c r="O1234" i="13"/>
  <c r="P1234" i="13" s="1"/>
  <c r="J1234" i="13"/>
  <c r="O1231" i="13"/>
  <c r="P1231" i="13" s="1"/>
  <c r="J1231" i="13"/>
  <c r="O711" i="13"/>
  <c r="P711" i="13" s="1"/>
  <c r="J711" i="13"/>
  <c r="J712" i="13"/>
  <c r="O712" i="13"/>
  <c r="P712" i="13" s="1"/>
  <c r="J716" i="13"/>
  <c r="O716" i="13"/>
  <c r="P716" i="13" s="1"/>
  <c r="I196" i="20"/>
  <c r="N178" i="20"/>
  <c r="N179" i="20" s="1"/>
  <c r="J890" i="13"/>
  <c r="O890" i="13"/>
  <c r="P890" i="13" s="1"/>
  <c r="J285" i="13"/>
  <c r="O285" i="13"/>
  <c r="P285" i="13" s="1"/>
  <c r="O197" i="13"/>
  <c r="P197" i="13" s="1"/>
  <c r="J197" i="13"/>
  <c r="J198" i="13"/>
  <c r="O198" i="13"/>
  <c r="P198" i="13" s="1"/>
  <c r="N1337" i="20"/>
  <c r="N1338" i="20" s="1"/>
  <c r="I1352" i="20"/>
  <c r="J368" i="13"/>
  <c r="O368" i="13"/>
  <c r="P368" i="13" s="1"/>
  <c r="J1575" i="13"/>
  <c r="O1575" i="13"/>
  <c r="P1575" i="13" s="1"/>
  <c r="J1141" i="13"/>
  <c r="O1141" i="13"/>
  <c r="P1141" i="13" s="1"/>
  <c r="O1401" i="13"/>
  <c r="P1401" i="13" s="1"/>
  <c r="J1401" i="13"/>
  <c r="J1397" i="13"/>
  <c r="O1397" i="13"/>
  <c r="P1397" i="13" s="1"/>
  <c r="I1457" i="13"/>
  <c r="O115" i="13"/>
  <c r="P115" i="13" s="1"/>
  <c r="J115" i="13"/>
  <c r="J797" i="13"/>
  <c r="O797" i="13"/>
  <c r="P797" i="13" s="1"/>
  <c r="I1085" i="20"/>
  <c r="N1070" i="20"/>
  <c r="N1071" i="20" s="1"/>
  <c r="O1483" i="13"/>
  <c r="P1483" i="13" s="1"/>
  <c r="J1483" i="13"/>
  <c r="I1543" i="13"/>
  <c r="J889" i="13"/>
  <c r="O889" i="13"/>
  <c r="P889" i="13" s="1"/>
  <c r="O885" i="13"/>
  <c r="P885" i="13" s="1"/>
  <c r="J885" i="13"/>
  <c r="J881" i="13"/>
  <c r="I941" i="13"/>
  <c r="O881" i="13"/>
  <c r="P881" i="13" s="1"/>
  <c r="H875" i="20"/>
  <c r="I815" i="20"/>
  <c r="J1920" i="13"/>
  <c r="O1920" i="13"/>
  <c r="P1920" i="13" s="1"/>
  <c r="J1913" i="13"/>
  <c r="I1973" i="13"/>
  <c r="N1386" i="13"/>
  <c r="J1406" i="13"/>
  <c r="O1406" i="13"/>
  <c r="P1406" i="13" s="1"/>
  <c r="J1485" i="13"/>
  <c r="O1485" i="13"/>
  <c r="P1485" i="13" s="1"/>
  <c r="J1490" i="13"/>
  <c r="O1490" i="13"/>
  <c r="P1490" i="13" s="1"/>
  <c r="J1226" i="13"/>
  <c r="O1226" i="13"/>
  <c r="P1226" i="13" s="1"/>
  <c r="O708" i="13"/>
  <c r="P708" i="13" s="1"/>
  <c r="J708" i="13"/>
  <c r="J283" i="13"/>
  <c r="O283" i="13"/>
  <c r="P283" i="13" s="1"/>
  <c r="O276" i="13"/>
  <c r="P276" i="13" s="1"/>
  <c r="J276" i="13"/>
  <c r="J1312" i="13"/>
  <c r="O1312" i="13"/>
  <c r="P1312" i="13" s="1"/>
  <c r="I731" i="20"/>
  <c r="N714" i="20"/>
  <c r="N715" i="20" s="1"/>
  <c r="I637" i="20"/>
  <c r="H697" i="20"/>
  <c r="N625" i="20"/>
  <c r="N626" i="20" s="1"/>
  <c r="I642" i="20"/>
  <c r="I1113" i="13"/>
  <c r="O1053" i="13"/>
  <c r="P1053" i="13" s="1"/>
  <c r="J1053" i="13"/>
  <c r="J1059" i="13"/>
  <c r="O1059" i="13"/>
  <c r="P1059" i="13" s="1"/>
  <c r="J193" i="13"/>
  <c r="O193" i="13"/>
  <c r="P193" i="13" s="1"/>
  <c r="O196" i="13"/>
  <c r="P196" i="13" s="1"/>
  <c r="J196" i="13"/>
  <c r="J1747" i="13"/>
  <c r="N1730" i="13"/>
  <c r="O1747" i="13"/>
  <c r="P1747" i="13" s="1"/>
  <c r="O1917" i="13"/>
  <c r="P1917" i="13" s="1"/>
  <c r="J1917" i="13"/>
  <c r="J371" i="13"/>
  <c r="O371" i="13"/>
  <c r="P371" i="13" s="1"/>
  <c r="O367" i="13"/>
  <c r="P367" i="13" s="1"/>
  <c r="J367" i="13"/>
  <c r="I1619" i="20"/>
  <c r="N1604" i="20"/>
  <c r="N1605" i="20" s="1"/>
  <c r="J630" i="13"/>
  <c r="O630" i="13"/>
  <c r="P630" i="13" s="1"/>
  <c r="N608" i="13"/>
  <c r="J626" i="13"/>
  <c r="O626" i="13"/>
  <c r="P626" i="13" s="1"/>
  <c r="J540" i="13"/>
  <c r="O540" i="13"/>
  <c r="P540" i="13" s="1"/>
  <c r="J455" i="13"/>
  <c r="O455" i="13"/>
  <c r="P455" i="13" s="1"/>
  <c r="N892" i="20"/>
  <c r="N893" i="20" s="1"/>
  <c r="I909" i="20"/>
  <c r="J1573" i="13"/>
  <c r="O1573" i="13"/>
  <c r="P1573" i="13" s="1"/>
  <c r="J1143" i="13"/>
  <c r="O1143" i="13"/>
  <c r="P1143" i="13" s="1"/>
  <c r="O1145" i="13"/>
  <c r="P1145" i="13" s="1"/>
  <c r="J1145" i="13"/>
  <c r="J1404" i="13"/>
  <c r="O1404" i="13"/>
  <c r="P1404" i="13" s="1"/>
  <c r="O104" i="13"/>
  <c r="P104" i="13" s="1"/>
  <c r="J104" i="13"/>
  <c r="O1834" i="13"/>
  <c r="P1834" i="13" s="1"/>
  <c r="J1834" i="13"/>
  <c r="J800" i="13"/>
  <c r="O800" i="13"/>
  <c r="P800" i="13" s="1"/>
  <c r="O802" i="13"/>
  <c r="P802" i="13" s="1"/>
  <c r="J802" i="13"/>
  <c r="J1487" i="13"/>
  <c r="O1487" i="13"/>
  <c r="P1487" i="13" s="1"/>
  <c r="J1225" i="13"/>
  <c r="I1285" i="13"/>
  <c r="O1225" i="13"/>
  <c r="P1225" i="13" s="1"/>
  <c r="J717" i="13"/>
  <c r="O717" i="13"/>
  <c r="P717" i="13" s="1"/>
  <c r="J886" i="13"/>
  <c r="O886" i="13"/>
  <c r="P886" i="13" s="1"/>
  <c r="O892" i="13"/>
  <c r="P892" i="13" s="1"/>
  <c r="N870" i="13"/>
  <c r="J892" i="13"/>
  <c r="N803" i="20"/>
  <c r="N804" i="20" s="1"/>
  <c r="I818" i="20"/>
  <c r="J281" i="13"/>
  <c r="O281" i="13"/>
  <c r="P281" i="13" s="1"/>
  <c r="O279" i="13"/>
  <c r="P279" i="13" s="1"/>
  <c r="J279" i="13"/>
  <c r="O536" i="13"/>
  <c r="P536" i="13" s="1"/>
  <c r="J536" i="13"/>
  <c r="O1571" i="13"/>
  <c r="P1571" i="13" s="1"/>
  <c r="J1571" i="13"/>
  <c r="J1657" i="13"/>
  <c r="O1657" i="13"/>
  <c r="P1657" i="13" s="1"/>
  <c r="J1320" i="13"/>
  <c r="O1320" i="13"/>
  <c r="P1320" i="13" s="1"/>
  <c r="N1300" i="13"/>
  <c r="J1317" i="13"/>
  <c r="O1317" i="13"/>
  <c r="P1317" i="13" s="1"/>
  <c r="N178" i="13"/>
  <c r="O201" i="13"/>
  <c r="P201" i="13" s="1"/>
  <c r="J201" i="13"/>
  <c r="O372" i="13"/>
  <c r="P372" i="13" s="1"/>
  <c r="N350" i="13"/>
  <c r="J372" i="13"/>
  <c r="J365" i="13"/>
  <c r="O365" i="13"/>
  <c r="P365" i="13" s="1"/>
  <c r="I1530" i="20"/>
  <c r="N1515" i="20"/>
  <c r="N1516" i="20" s="1"/>
  <c r="I1884" i="20"/>
  <c r="H1944" i="20"/>
  <c r="I1973" i="20"/>
  <c r="H2033" i="20"/>
  <c r="I1708" i="20"/>
  <c r="N1693" i="20"/>
  <c r="N1694" i="20" s="1"/>
  <c r="H1142" i="20"/>
  <c r="I1082" i="20"/>
  <c r="J882" i="13"/>
  <c r="O882" i="13"/>
  <c r="P882" i="13" s="1"/>
  <c r="I370" i="20"/>
  <c r="H430" i="20"/>
  <c r="J1316" i="13"/>
  <c r="O1316" i="13"/>
  <c r="P1316" i="13" s="1"/>
  <c r="J1058" i="13"/>
  <c r="O1058" i="13"/>
  <c r="P1058" i="13" s="1"/>
  <c r="J1057" i="13"/>
  <c r="O1057" i="13"/>
  <c r="P1057" i="13" s="1"/>
  <c r="O1056" i="13"/>
  <c r="P1056" i="13" s="1"/>
  <c r="J1056" i="13"/>
  <c r="J199" i="13"/>
  <c r="O199" i="13"/>
  <c r="P199" i="13" s="1"/>
  <c r="I249" i="13"/>
  <c r="J189" i="13"/>
  <c r="O189" i="13"/>
  <c r="P189" i="13" s="1"/>
  <c r="O1744" i="13"/>
  <c r="P1744" i="13" s="1"/>
  <c r="J1744" i="13"/>
  <c r="O1746" i="13"/>
  <c r="P1746" i="13" s="1"/>
  <c r="J1746" i="13"/>
  <c r="O1741" i="13"/>
  <c r="P1741" i="13" s="1"/>
  <c r="J1741" i="13"/>
  <c r="I1801" i="13"/>
  <c r="N1159" i="20"/>
  <c r="N1160" i="20" s="1"/>
  <c r="I1174" i="20"/>
  <c r="J364" i="13"/>
  <c r="O364" i="13"/>
  <c r="P364" i="13" s="1"/>
  <c r="J628" i="13"/>
  <c r="O628" i="13"/>
  <c r="P628" i="13" s="1"/>
  <c r="J622" i="13"/>
  <c r="O622" i="13"/>
  <c r="P622" i="13" s="1"/>
  <c r="I548" i="20"/>
  <c r="H608" i="20"/>
  <c r="I550" i="20"/>
  <c r="N536" i="20"/>
  <c r="N537" i="20" s="1"/>
  <c r="J449" i="13"/>
  <c r="O449" i="13"/>
  <c r="P449" i="13" s="1"/>
  <c r="I1705" i="20"/>
  <c r="H1765" i="20"/>
  <c r="O1146" i="13"/>
  <c r="P1146" i="13" s="1"/>
  <c r="J1146" i="13"/>
  <c r="O1405" i="13"/>
  <c r="P1405" i="13" s="1"/>
  <c r="J1405" i="13"/>
  <c r="O111" i="13"/>
  <c r="P111" i="13" s="1"/>
  <c r="J111" i="13"/>
  <c r="O105" i="13"/>
  <c r="P105" i="13" s="1"/>
  <c r="J105" i="13"/>
  <c r="J114" i="13"/>
  <c r="O114" i="13"/>
  <c r="P114" i="13" s="1"/>
  <c r="O108" i="13"/>
  <c r="P108" i="13" s="1"/>
  <c r="J108" i="13"/>
  <c r="O1484" i="13"/>
  <c r="P1484" i="13" s="1"/>
  <c r="J1484" i="13"/>
  <c r="J1233" i="13"/>
  <c r="O1233" i="13"/>
  <c r="P1233" i="13" s="1"/>
  <c r="J713" i="13"/>
  <c r="O713" i="13"/>
  <c r="P713" i="13" s="1"/>
  <c r="O718" i="13"/>
  <c r="P718" i="13" s="1"/>
  <c r="J718" i="13"/>
  <c r="N696" i="13"/>
  <c r="O715" i="13"/>
  <c r="P715" i="13" s="1"/>
  <c r="J715" i="13"/>
  <c r="O891" i="13"/>
  <c r="P891" i="13" s="1"/>
  <c r="J891" i="13"/>
  <c r="J883" i="13"/>
  <c r="O883" i="13"/>
  <c r="P883" i="13" s="1"/>
  <c r="J282" i="13"/>
  <c r="O282" i="13"/>
  <c r="P282" i="13" s="1"/>
  <c r="I1142" i="20" l="1"/>
  <c r="I1498" i="20"/>
  <c r="I697" i="20"/>
  <c r="I2033" i="20"/>
  <c r="I1944" i="20"/>
  <c r="I608" i="20"/>
  <c r="I1587" i="20"/>
  <c r="J1027" i="13"/>
  <c r="J1629" i="13"/>
  <c r="I1231" i="20"/>
  <c r="J1199" i="13"/>
  <c r="I1409" i="20"/>
  <c r="I160" i="20"/>
  <c r="O1128" i="13"/>
  <c r="O1129" i="13" s="1"/>
  <c r="N1129" i="13"/>
  <c r="O264" i="13"/>
  <c r="O265" i="13" s="1"/>
  <c r="N265" i="13"/>
  <c r="I1765" i="20"/>
  <c r="J1801" i="13"/>
  <c r="O178" i="13"/>
  <c r="O179" i="13" s="1"/>
  <c r="N179" i="13"/>
  <c r="I875" i="20"/>
  <c r="O784" i="13"/>
  <c r="O785" i="13" s="1"/>
  <c r="N785" i="13"/>
  <c r="J767" i="13"/>
  <c r="O1558" i="13"/>
  <c r="O1559" i="13" s="1"/>
  <c r="N1559" i="13"/>
  <c r="J507" i="13"/>
  <c r="N23" i="13"/>
  <c r="G27" i="2"/>
  <c r="L27" i="2" s="1"/>
  <c r="O1472" i="13"/>
  <c r="O1473" i="13" s="1"/>
  <c r="N1473" i="13"/>
  <c r="N1990" i="13"/>
  <c r="O1989" i="13"/>
  <c r="O1990" i="13" s="1"/>
  <c r="I340" i="20"/>
  <c r="J1715" i="13"/>
  <c r="I1320" i="20"/>
  <c r="J593" i="13"/>
  <c r="J1371" i="13"/>
  <c r="J1887" i="13"/>
  <c r="N1903" i="13"/>
  <c r="O1902" i="13"/>
  <c r="O1903" i="13" s="1"/>
  <c r="O1644" i="13"/>
  <c r="O1645" i="13" s="1"/>
  <c r="N1645" i="13"/>
  <c r="N609" i="13"/>
  <c r="O608" i="13"/>
  <c r="O609" i="13" s="1"/>
  <c r="O22" i="13"/>
  <c r="O91" i="13"/>
  <c r="O92" i="13" s="1"/>
  <c r="N92" i="13"/>
  <c r="N1731" i="13"/>
  <c r="O1730" i="13"/>
  <c r="O1731" i="13" s="1"/>
  <c r="J1543" i="13"/>
  <c r="O1300" i="13"/>
  <c r="O1301" i="13" s="1"/>
  <c r="N1301" i="13"/>
  <c r="O870" i="13"/>
  <c r="O871" i="13" s="1"/>
  <c r="N871" i="13"/>
  <c r="J1285" i="13"/>
  <c r="N1387" i="13"/>
  <c r="O1386" i="13"/>
  <c r="O1387" i="13" s="1"/>
  <c r="N1215" i="13"/>
  <c r="O1214" i="13"/>
  <c r="O1215" i="13" s="1"/>
  <c r="O1816" i="13"/>
  <c r="O1817" i="13" s="1"/>
  <c r="N1817" i="13"/>
  <c r="I1053" i="20"/>
  <c r="N26" i="20"/>
  <c r="O26" i="20" s="1"/>
  <c r="N89" i="20"/>
  <c r="J421" i="13"/>
  <c r="J335" i="13"/>
  <c r="J855" i="13"/>
  <c r="N1043" i="13"/>
  <c r="O1042" i="13"/>
  <c r="O1043" i="13" s="1"/>
  <c r="J162" i="13"/>
  <c r="J249" i="13"/>
  <c r="N697" i="13"/>
  <c r="O696" i="13"/>
  <c r="O697" i="13" s="1"/>
  <c r="I430" i="20"/>
  <c r="O350" i="13"/>
  <c r="O351" i="13" s="1"/>
  <c r="N351" i="13"/>
  <c r="J941" i="13"/>
  <c r="J1457" i="13"/>
  <c r="I250" i="20"/>
  <c r="O956" i="13"/>
  <c r="O957" i="13" s="1"/>
  <c r="N957" i="13"/>
  <c r="I786" i="20"/>
  <c r="J679" i="13"/>
  <c r="J1113" i="13"/>
  <c r="I964" i="20"/>
  <c r="J1973" i="13"/>
  <c r="O436" i="13"/>
  <c r="O437" i="13" s="1"/>
  <c r="N437" i="13"/>
  <c r="O522" i="13"/>
  <c r="O523" i="13" s="1"/>
  <c r="N523" i="13"/>
  <c r="I1676" i="20"/>
  <c r="J2060" i="13"/>
  <c r="I519" i="20"/>
  <c r="P22" i="13" l="1"/>
  <c r="P23" i="13" s="1"/>
  <c r="L39" i="2" s="1"/>
  <c r="O23" i="13"/>
  <c r="G24" i="48" l="1"/>
  <c r="H24" i="48"/>
  <c r="I24" i="48" l="1"/>
  <c r="G25" i="48" l="1"/>
  <c r="H25" i="48"/>
  <c r="I25" i="48" l="1"/>
  <c r="H23" i="48" l="1"/>
  <c r="G23" i="48"/>
  <c r="I23" i="48" l="1"/>
  <c r="G22" i="48" l="1"/>
  <c r="H22" i="48"/>
  <c r="I22" i="48" l="1"/>
  <c r="G27" i="48" l="1"/>
  <c r="H27" i="48"/>
  <c r="H28" i="48" s="1"/>
  <c r="G28" i="48" l="1"/>
  <c r="I27" i="48"/>
  <c r="I28" i="48" s="1"/>
</calcChain>
</file>

<file path=xl/sharedStrings.xml><?xml version="1.0" encoding="utf-8"?>
<sst xmlns="http://schemas.openxmlformats.org/spreadsheetml/2006/main" count="4986" uniqueCount="1401">
  <si>
    <t>CALCULATION OF RECOVERABLE HEDGE GAINS/LOSSES</t>
  </si>
  <si>
    <t>Net Includable Hedge Amount</t>
  </si>
  <si>
    <t>Source of Data</t>
  </si>
  <si>
    <t>Plant Held For Future Use</t>
  </si>
  <si>
    <t>( C )</t>
  </si>
  <si>
    <t>General Notes:  a)  References to data from Worksheets are indicated as:  Worksheet X, Line#.Column.X</t>
  </si>
  <si>
    <t>Average Balance of Common Equity</t>
  </si>
  <si>
    <t>Development of Cost of  Long Term Debt Based on Average Outstanding Balance</t>
  </si>
  <si>
    <t>Total Hedge Amortization</t>
  </si>
  <si>
    <t>Development of Cost of Preferred Stock</t>
  </si>
  <si>
    <t>321.80.b</t>
  </si>
  <si>
    <t>322.156.b</t>
  </si>
  <si>
    <t>354.21.b</t>
  </si>
  <si>
    <t>Date</t>
  </si>
  <si>
    <t>Property Description</t>
  </si>
  <si>
    <t>Basis</t>
  </si>
  <si>
    <t>Proceeds</t>
  </si>
  <si>
    <t xml:space="preserve">Line </t>
  </si>
  <si>
    <t>Function (T) or (G)</t>
  </si>
  <si>
    <t>Functional Allocator</t>
  </si>
  <si>
    <t xml:space="preserve">(G) </t>
  </si>
  <si>
    <t>Functionalized Proceeds</t>
  </si>
  <si>
    <t>Removes transmission plant (e.g. step-up transformers) included in the development of OATT ancillary service rates and not already removed for reasons indicated in Note P.</t>
  </si>
  <si>
    <t xml:space="preserve">     Less: Account 565</t>
  </si>
  <si>
    <t>ACCUMULATED DEPRECIATION AND AMORTIZATION</t>
  </si>
  <si>
    <t>WACC=</t>
  </si>
  <si>
    <t>TP1</t>
  </si>
  <si>
    <t>TP1=</t>
  </si>
  <si>
    <t>Non-</t>
  </si>
  <si>
    <t xml:space="preserve"> The rates for each AEP company have been approved by their respective regulatory commissions.  </t>
  </si>
  <si>
    <t>Annual Tax Expenses by Type (Note 1)</t>
  </si>
  <si>
    <t xml:space="preserve">IPP CONTRIBUTIONS FOR CONSTRUCTION  </t>
  </si>
  <si>
    <t>TAXES OTHER THAN INCOME</t>
  </si>
  <si>
    <t>TOTAL OTHER TAXES</t>
  </si>
  <si>
    <t xml:space="preserve">The Long Term Debt balance for I&amp;M includes the accumulated balance of principle and related interest for Spent Nuclear Fuel Disposal Costs collected prior to April 7, 1983. </t>
  </si>
  <si>
    <t>TOTAL INCOME TAXES</t>
  </si>
  <si>
    <t>Item No.</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</si>
  <si>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</si>
  <si>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</si>
  <si>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</si>
  <si>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</si>
  <si>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</si>
  <si>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</si>
  <si>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</si>
  <si>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</si>
  <si>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</si>
  <si>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</si>
  <si>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</si>
  <si>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General Plant and Administrative &amp; General expenses, other than in accounts 924, 928, and 930, will be functionalized  based on the Wages &amp; Salaries "W/S" allocator. The allocation basis for accounts 924, 928 and 930 are separately presented in the formula. A change in the allocation method for an account must be approved via a 205 filing with the FERC.</t>
  </si>
  <si>
    <t>Detail of Account 561 Per FERC Form 1</t>
  </si>
  <si>
    <t>FF1 p 321.85.b</t>
  </si>
  <si>
    <t>561.1 - Load Dispatch - Reliability</t>
  </si>
  <si>
    <t>FF1 p 321.86.b</t>
  </si>
  <si>
    <t>561.2 - Load Dispatch - Monitor &amp; Operate Trans System</t>
  </si>
  <si>
    <t>FF1 p 321.87.b</t>
  </si>
  <si>
    <t>561.3 - Load Dispatch - Trans Service &amp; Scheduling</t>
  </si>
  <si>
    <t>FF1 p 321.88.b</t>
  </si>
  <si>
    <t>561.4 - Scheduling, System Control &amp; Dispatch</t>
  </si>
  <si>
    <t>FF1 p 321.89.b</t>
  </si>
  <si>
    <t>561.5 -  Reliability, Planning and Standards Development</t>
  </si>
  <si>
    <t>FF1 p 321.90.b</t>
  </si>
  <si>
    <t>561.6 - Transmission Service Studies</t>
  </si>
  <si>
    <t>FF1 p 321.91.b</t>
  </si>
  <si>
    <t>561.7 - Generation Interconnection Studies</t>
  </si>
  <si>
    <t>FF1 p 321.92.b</t>
  </si>
  <si>
    <t>561.8 -  Reliability, Planning and Standards Development Services</t>
  </si>
  <si>
    <t>Total of Account 561</t>
  </si>
  <si>
    <t>Company Records - Note 1</t>
  </si>
  <si>
    <t>NOTE 1</t>
  </si>
  <si>
    <t xml:space="preserve">NOTE 2 </t>
  </si>
  <si>
    <t xml:space="preserve">ADIT balances should exclude balances related to hedging activity. </t>
  </si>
  <si>
    <t>Interest Accrual (Company Records - Note 1)</t>
  </si>
  <si>
    <t>Revenue Credits to Generators (Company Records - Note 1)</t>
  </si>
  <si>
    <t>Accounting Adjustment  (Company Records - Note 1)</t>
  </si>
  <si>
    <t>Subtotal - Other Operating Revenues (Company Total equals (FF1 p. 300.26.(b))</t>
  </si>
  <si>
    <t>Apportionment Factors are determined as part of the Company's annual tax return for that jurisdiction.</t>
  </si>
  <si>
    <t>FERC FORM 1</t>
  </si>
  <si>
    <t>Tie-Back</t>
  </si>
  <si>
    <t>FERC FORM 1 Reference</t>
  </si>
  <si>
    <t xml:space="preserve">NOTE 1: The detail of each total company number and its source in the FERC Form 1 is shown on WS H-1. </t>
  </si>
  <si>
    <t>FERC</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</si>
  <si>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</si>
  <si>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</si>
  <si>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</si>
  <si>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</si>
  <si>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</si>
  <si>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</si>
  <si>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</si>
  <si>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</si>
  <si>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</si>
  <si>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</si>
  <si>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</si>
  <si>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</si>
  <si>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</si>
  <si>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</si>
  <si>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</si>
  <si>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323.189.b</t>
  </si>
  <si>
    <t>323.191.b</t>
  </si>
  <si>
    <t>323.192.b</t>
  </si>
  <si>
    <t>INTEREST ON IPP CONTRIBUTION FOR CONST. (Note F) (Worksheet D, ln 2.(B))</t>
  </si>
  <si>
    <t>(Note H) 321.96.b</t>
  </si>
  <si>
    <t>EXPENSE, TAXES, RETURN &amp; REVENUE</t>
  </si>
  <si>
    <t>REQUIREMENTS  CALCULATION</t>
  </si>
  <si>
    <t>OPERATION &amp; MAINTENANCE EXPENSE</t>
  </si>
  <si>
    <t xml:space="preserve">  Administrative and General</t>
  </si>
  <si>
    <t xml:space="preserve">  Prepayments (Account 165) - Unallocable</t>
  </si>
  <si>
    <t>Number</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</si>
  <si>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</si>
  <si>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</si>
  <si>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</si>
  <si>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</si>
  <si>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</si>
  <si>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</si>
  <si>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</si>
  <si>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</si>
  <si>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</si>
  <si>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</si>
  <si>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</si>
  <si>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</si>
  <si>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</si>
  <si>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</si>
  <si>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</si>
  <si>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</si>
  <si>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</si>
  <si>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</si>
  <si>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</si>
  <si>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 xml:space="preserve">  Production</t>
  </si>
  <si>
    <t>NA</t>
  </si>
  <si>
    <t xml:space="preserve">  Transmission</t>
  </si>
  <si>
    <t>DA</t>
  </si>
  <si>
    <t xml:space="preserve">  Distribution</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</si>
  <si>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</si>
  <si>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</si>
  <si>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</si>
  <si>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</si>
  <si>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</si>
  <si>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</si>
  <si>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</si>
  <si>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</si>
  <si>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</si>
  <si>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</si>
  <si>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</si>
  <si>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 xml:space="preserve">         Other</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</si>
  <si>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</si>
  <si>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</si>
  <si>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</si>
  <si>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</si>
  <si>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</si>
  <si>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</si>
  <si>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</si>
  <si>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</si>
  <si>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</si>
  <si>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</si>
  <si>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</si>
  <si>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</si>
  <si>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</si>
  <si>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</si>
  <si>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</si>
  <si>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</si>
  <si>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</si>
  <si>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</si>
  <si>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</si>
  <si>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</si>
  <si>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</si>
  <si>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</si>
  <si>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</si>
  <si>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</si>
  <si>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</si>
  <si>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</si>
  <si>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</si>
  <si>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</si>
  <si>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</si>
  <si>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</si>
  <si>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</si>
  <si>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</si>
  <si>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</si>
  <si>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</si>
  <si>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Year</t>
  </si>
  <si>
    <t>Balance</t>
  </si>
  <si>
    <t>Total Included</t>
  </si>
  <si>
    <t>in Ratebase</t>
  </si>
  <si>
    <t>Other</t>
  </si>
  <si>
    <t xml:space="preserve">Total  </t>
  </si>
  <si>
    <t>Company</t>
  </si>
  <si>
    <t>Direct Payroll</t>
  </si>
  <si>
    <t>January</t>
  </si>
  <si>
    <t>March</t>
  </si>
  <si>
    <t>April</t>
  </si>
  <si>
    <t>May</t>
  </si>
  <si>
    <t>July</t>
  </si>
  <si>
    <t>August</t>
  </si>
  <si>
    <t>December</t>
  </si>
  <si>
    <t>September</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</si>
  <si>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</si>
  <si>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</si>
  <si>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</si>
  <si>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</si>
  <si>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</si>
  <si>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WEIGHTED AVERAGE COST OF CAPITAL (WACC)</t>
  </si>
  <si>
    <t>RETURN ON RATE BASE (Rate Base*WACC)</t>
  </si>
  <si>
    <t xml:space="preserve">         Gross Receipts/Sales &amp; Use</t>
  </si>
  <si>
    <t xml:space="preserve">  Other (Excludes A&amp;G) </t>
  </si>
  <si>
    <t>322 &amp; 323.164,171,178.b</t>
  </si>
  <si>
    <t>Total Effective State Income Tax Rate</t>
  </si>
  <si>
    <t>Cash Working Capital</t>
  </si>
  <si>
    <t>PLANT HELD FOR FUTURE USE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</si>
  <si>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</si>
  <si>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</si>
  <si>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</si>
  <si>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</si>
  <si>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</si>
  <si>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</si>
  <si>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</si>
  <si>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</si>
  <si>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</si>
  <si>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Total Other Operating Revenues To Reduce Revenue Requirement</t>
  </si>
  <si>
    <t>GTD=</t>
  </si>
  <si>
    <t xml:space="preserve"> Worksheet H-1 Form 1 Source Reference of Company Amounts on WS H</t>
  </si>
  <si>
    <t>made contributions toward the construction of System upgrades, and includes accrued interest and unreturned balance of contributions.  The annual interest</t>
  </si>
  <si>
    <t>Long Term Interest</t>
  </si>
  <si>
    <t xml:space="preserve">Preferred Dividends </t>
  </si>
  <si>
    <t>TRANSMISSION PLANT INCLUDED IN PJM TARIFF</t>
  </si>
  <si>
    <t>Transmission plant included in PJM Tariff</t>
  </si>
  <si>
    <t>Percent of transmission plant in PJM Tariff</t>
  </si>
  <si>
    <t>Removes plant excluded from the OATT because it does not meet the PJM's definition of Transmission Facilities or is otherwise ineligible to be recovered under the OATT.</t>
  </si>
  <si>
    <t>Less: Net Value of Exempted Generation Plant</t>
  </si>
  <si>
    <t xml:space="preserve">  Regional Market Expenses</t>
  </si>
  <si>
    <t>Worksheet D Supporting  IPP Credits</t>
  </si>
  <si>
    <t>Other Adjustments</t>
  </si>
  <si>
    <t>Production</t>
  </si>
  <si>
    <t xml:space="preserve">           Acct. 928 - Transmission Specific</t>
  </si>
  <si>
    <t>Remaining Unamortized Balance</t>
  </si>
  <si>
    <t>Amortization Period</t>
  </si>
  <si>
    <t>the percentage of federal income tax deductible for state income taxes.  See Worksheet G for the development of the Company's composite SIT.</t>
  </si>
  <si>
    <t>A utility that elected to utilize amortization of tax credits against taxable income, rather than book tax credits to Account No. 255 and reduce rate base, must reduce its income tax</t>
  </si>
  <si>
    <t>expense by the amount of the Amortized Investment Tax Credit (Form 1, 266.8.f)</t>
  </si>
  <si>
    <t>Regulatory Assets and Liabilities Approved for Recovery In Ratebase</t>
  </si>
  <si>
    <t xml:space="preserve"> Worksheet E Supporting Revenue Credits</t>
  </si>
  <si>
    <t xml:space="preserve"> Worksheet H Supporting Taxes Other than Income</t>
  </si>
  <si>
    <t xml:space="preserve"> Worksheet N - Gains (Losses) on Sales of Plant Held For Future Use</t>
  </si>
  <si>
    <t xml:space="preserve">           Acct 930.1 - Only safety related ads -Direct</t>
  </si>
  <si>
    <t xml:space="preserve">           Acct 930.2 - Misc Gen. Exp. - Trans</t>
  </si>
  <si>
    <t>Development of Common Stock:</t>
  </si>
  <si>
    <t xml:space="preserve">Proprietary Capital </t>
  </si>
  <si>
    <t>Common Stock</t>
  </si>
  <si>
    <t>N</t>
  </si>
  <si>
    <t xml:space="preserve">  Customer Related Expense</t>
  </si>
  <si>
    <t xml:space="preserve">  Regional Marketing Expenses</t>
  </si>
  <si>
    <t>TOTAL O&amp;M EXPENSES</t>
  </si>
  <si>
    <t xml:space="preserve">TOTAL REVENUE REQUIREMENT </t>
  </si>
  <si>
    <t xml:space="preserve">  Annual Rate</t>
  </si>
  <si>
    <t xml:space="preserve">  Monthly Rate</t>
  </si>
  <si>
    <t xml:space="preserve">   Project ROE Incentive Adder</t>
  </si>
  <si>
    <t>Weighted cost</t>
  </si>
  <si>
    <t>Rev Require</t>
  </si>
  <si>
    <t xml:space="preserve"> W Incentives</t>
  </si>
  <si>
    <t>Incentive Amounts</t>
  </si>
  <si>
    <t>Long Term Debt</t>
  </si>
  <si>
    <t>Preferred Stock</t>
  </si>
  <si>
    <t>Actual after True-up</t>
  </si>
  <si>
    <t>R =</t>
  </si>
  <si>
    <t>PROJECTED YEAR</t>
  </si>
  <si>
    <t xml:space="preserve">   Return (Rate Base  x  R)</t>
  </si>
  <si>
    <t xml:space="preserve">   Return   (from B. above)</t>
  </si>
  <si>
    <t xml:space="preserve">   Income Tax Calculation  (Return  x  CIT)</t>
  </si>
  <si>
    <t xml:space="preserve">   Income Taxes</t>
  </si>
  <si>
    <t xml:space="preserve">   Income Taxes  (from I.C. above)</t>
  </si>
  <si>
    <t>Calculation of Composite Depreciation Rate</t>
  </si>
  <si>
    <t>Composite Depreciation Rate</t>
  </si>
  <si>
    <t>Depreciable Life for Composite Depreciation Rate</t>
  </si>
  <si>
    <t>Round to nearest whole year</t>
  </si>
  <si>
    <t xml:space="preserve">   (e.g. ER05-925-000)</t>
  </si>
  <si>
    <t>Investment</t>
  </si>
  <si>
    <t>Current Year</t>
  </si>
  <si>
    <t>TRUE UP OF PROJECT REVENUE REQUIREMENT FOR PRIOR YEAR:</t>
  </si>
  <si>
    <t>Service Year (yyyy)</t>
  </si>
  <si>
    <t>ROE increase accepted by FERC (Basis Points)</t>
  </si>
  <si>
    <t>Service Month (1-12)</t>
  </si>
  <si>
    <t>FCR w/o incentives, less depreciation</t>
  </si>
  <si>
    <t>Useful life</t>
  </si>
  <si>
    <t>FCR w/incentives approved for these facilities, less dep.</t>
  </si>
  <si>
    <t>CIAC (Yes or No)</t>
  </si>
  <si>
    <t>Annual Depreciation Expense</t>
  </si>
  <si>
    <t>Beginning</t>
  </si>
  <si>
    <t>Depreciation</t>
  </si>
  <si>
    <t>Ending</t>
  </si>
  <si>
    <t>True-up of Incentive</t>
  </si>
  <si>
    <t xml:space="preserve">w/o Incentives </t>
  </si>
  <si>
    <t>Project Totals</t>
  </si>
  <si>
    <t xml:space="preserve">should be incremented by the amount of the incentive revenue calculated for that year on this project. </t>
  </si>
  <si>
    <t>Determine the Revenue Requirement, and Additional Revenue Requirement for facilities receiving incentives.</t>
  </si>
  <si>
    <t>A. Base Plan Facilities</t>
  </si>
  <si>
    <t>Facilities receiving incentives accepted by FERC in Docket No.</t>
  </si>
  <si>
    <t>Project Description:</t>
  </si>
  <si>
    <t>Details</t>
  </si>
  <si>
    <t>Incentive Rev.</t>
  </si>
  <si>
    <t>Current Projected Year ARR</t>
  </si>
  <si>
    <t>Current Projected Year ARR w/ Incentive</t>
  </si>
  <si>
    <t>w/o Incentives</t>
  </si>
  <si>
    <r>
      <t xml:space="preserve">   Return   (from </t>
    </r>
    <r>
      <rPr>
        <sz val="10"/>
        <rFont val="MS Serif"/>
        <family val="1"/>
      </rPr>
      <t>I</t>
    </r>
    <r>
      <rPr>
        <sz val="10"/>
        <rFont val="Arial"/>
        <family val="2"/>
      </rPr>
      <t>.B. above)</t>
    </r>
  </si>
  <si>
    <r>
      <t>with Incentives</t>
    </r>
    <r>
      <rPr>
        <b/>
        <sz val="10"/>
        <color indexed="10"/>
        <rFont val="Arial"/>
        <family val="2"/>
      </rPr>
      <t xml:space="preserve"> **</t>
    </r>
  </si>
  <si>
    <t>TOTAL DEPRECIATION AND AMORTIZATI0N</t>
  </si>
  <si>
    <t xml:space="preserve">   ITC Adjustment  </t>
  </si>
  <si>
    <t>(Note D)</t>
  </si>
  <si>
    <t>O</t>
  </si>
  <si>
    <t xml:space="preserve">  Prepayments (Account 165) - Transmission Only</t>
  </si>
  <si>
    <t>Account</t>
  </si>
  <si>
    <t>Gross Receipts Tax</t>
  </si>
  <si>
    <t>Federal Excise Tax</t>
  </si>
  <si>
    <t>Property</t>
  </si>
  <si>
    <t>Non-Allocable</t>
  </si>
  <si>
    <t xml:space="preserve"> Total Taxes by Allocable Basis</t>
  </si>
  <si>
    <r>
      <t xml:space="preserve">NOTE:  The net amount of hedging gains or losses recorded in account 427 to be recovered in this formula rate should be limited to the effective portion of pre-issuance cash flow hedges that are amortized over the life of the underlying debt issuances.  The recovery of a net loss or passback of a net gain will be limited to five basis points of the total Capital Structure.  </t>
    </r>
    <r>
      <rPr>
        <u/>
        <sz val="11"/>
        <rFont val="Arial"/>
        <family val="2"/>
      </rPr>
      <t>Amounts related to the ineffective portion of pre-issuance hedges, cash settlements of fair value hedges issued on Long Term Debt, post-issuance cash flow hedges, and cash flow hedges of variable rate debt issuances are not recoverable in this formula and are to be recorded in the “Excludable” column below.</t>
    </r>
  </si>
  <si>
    <t>Year End Total Agrees to FF1 p.112, Ln 3, col (c ) &amp; (d)</t>
  </si>
  <si>
    <t xml:space="preserve">Federal Unemployment Tax </t>
  </si>
  <si>
    <t xml:space="preserve">State Unemployment Insurance </t>
  </si>
  <si>
    <t xml:space="preserve">State Public Service Commission Fees </t>
  </si>
  <si>
    <t xml:space="preserve">State Franchise Taxes </t>
  </si>
  <si>
    <t xml:space="preserve">State Lic/Registration Fee  </t>
  </si>
  <si>
    <t xml:space="preserve">Misc. State and Local Tax </t>
  </si>
  <si>
    <t xml:space="preserve">Sales &amp; Use </t>
  </si>
  <si>
    <t xml:space="preserve">Federal Insurance Contribution (FICA ) </t>
  </si>
  <si>
    <t xml:space="preserve">Miscellaneous Taxes </t>
  </si>
  <si>
    <t>Revenue Taxes</t>
  </si>
  <si>
    <t>Real Estate and Personal Property Taxes</t>
  </si>
  <si>
    <t xml:space="preserve">Payroll Taxes </t>
  </si>
  <si>
    <t>DEFERRED TAX ADJUSTMENTS TO RATE BASE</t>
  </si>
  <si>
    <t>REGULATORY ASSETS</t>
  </si>
  <si>
    <t xml:space="preserve">     Less: Total Account 561</t>
  </si>
  <si>
    <t xml:space="preserve">               Acct. 928, Reg. Com. Exp.</t>
  </si>
  <si>
    <t xml:space="preserve">  Less:    Acct. 924, Property Insurance</t>
  </si>
  <si>
    <t xml:space="preserve">               Acct. 930.2, Misc. Gen. Exp.</t>
  </si>
  <si>
    <t xml:space="preserve">     Less: Regulatory Deferrals &amp; Amortizations</t>
  </si>
  <si>
    <t>Transmsission</t>
  </si>
  <si>
    <t>General</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</si>
  <si>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</si>
  <si>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</si>
  <si>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</si>
  <si>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</si>
  <si>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</si>
  <si>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</si>
  <si>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 xml:space="preserve">Income Tax Calculation </t>
  </si>
  <si>
    <t xml:space="preserve">     ITC adjustment</t>
  </si>
  <si>
    <t>(Note R)</t>
  </si>
  <si>
    <t>The currently effective income tax rate,  where FIT is the Federal income tax rate; SIT is the State income tax rate, and p =</t>
  </si>
  <si>
    <t xml:space="preserve">         Inputs Required:</t>
  </si>
  <si>
    <t>FIT =</t>
  </si>
  <si>
    <t>SIT=</t>
  </si>
  <si>
    <t>p =</t>
  </si>
  <si>
    <t xml:space="preserve">  (percent of federal income tax deductible for state purposes)</t>
  </si>
  <si>
    <t>P</t>
  </si>
  <si>
    <t>Q</t>
  </si>
  <si>
    <t>R</t>
  </si>
  <si>
    <t>S</t>
  </si>
  <si>
    <t>NOTE C</t>
  </si>
  <si>
    <t>Includes only FICA, unemployment, highway, property and other assessments charged in the current year.  Gross receipts, sales &amp; use and taxes related to income are excluded.</t>
  </si>
  <si>
    <t>RTEP Rev. Req't.</t>
  </si>
  <si>
    <t xml:space="preserve">          TEMPLATE BELOW TO MAINTAIN HISTORY OF PROJECTED ARRS OVER THE </t>
  </si>
  <si>
    <t>RTEP Projected Rev. Req't.From Prior Year WS J</t>
  </si>
  <si>
    <t>HEDGE AMOUNTS BY ISSUANCE (FROM p. 256-257 (i) of the FERC Form 1)</t>
  </si>
  <si>
    <t>Note: Regulatory Assets &amp; Liabilities can only be included in ratebase pursuant to a 205 filing with the FERC.</t>
  </si>
  <si>
    <t xml:space="preserve">Less: Account 216.1 </t>
  </si>
  <si>
    <t xml:space="preserve">          TEMPLATE BELOW TO MAINTAIN HISTORY OF TRUED-UP ARRS OVER THE </t>
  </si>
  <si>
    <t xml:space="preserve">         LIFE OF THE PROJECT.</t>
  </si>
  <si>
    <t>RTEP Rev Req't True-up</t>
  </si>
  <si>
    <t>RTEP Projected Rev. Req't.From Prior Year Template</t>
  </si>
  <si>
    <t>RTEP  Rev Req't True-up</t>
  </si>
  <si>
    <t>Less: Account 219</t>
  </si>
  <si>
    <t>Less: Preferred Stock</t>
  </si>
  <si>
    <t>1) Forfeited Discounts.</t>
  </si>
  <si>
    <t>2) Miscellaneous Service Revenues.</t>
  </si>
  <si>
    <t>5) Other electric revenues.</t>
  </si>
  <si>
    <t>6) Revenues for grandfathered PTP contracts included in the load divisor.</t>
  </si>
  <si>
    <t>NET PLANT CARRYING CHARGE w/o intra-AEP charges or credits or ROE incentives (Note B)</t>
  </si>
  <si>
    <t>FF1, page 214, ln 47, Col. (d)</t>
  </si>
  <si>
    <t xml:space="preserve">  Less: Distribution ARO (Enter Negative) </t>
  </si>
  <si>
    <t xml:space="preserve">  Less: General Plant ARO (Enter Negative) </t>
  </si>
  <si>
    <t xml:space="preserve">  Less: Production ARO (Enter Negative) </t>
  </si>
  <si>
    <t xml:space="preserve">  Less: Transmission ARO (Enter Negative) </t>
  </si>
  <si>
    <t>FF1, page 219, lns 20-24, Col. (b)</t>
  </si>
  <si>
    <t>FF1, page 219, ln 25, Col. (b)</t>
  </si>
  <si>
    <t>(Total Company Amount Ties to FFI p.114, Ln 14,(c))</t>
  </si>
  <si>
    <t>June</t>
  </si>
  <si>
    <t>Subtotal - Form 1, p 111.57.d</t>
  </si>
  <si>
    <t>Total O&amp;M Allocable to Transmission</t>
  </si>
  <si>
    <t xml:space="preserve">AEP East Companies </t>
  </si>
  <si>
    <t>Transmission Cost of Service Formula Rate</t>
  </si>
  <si>
    <t>AEP East Companies</t>
  </si>
  <si>
    <t xml:space="preserve">ITC Balances Includeable Ratebase </t>
  </si>
  <si>
    <t>Requirement ##</t>
  </si>
  <si>
    <t>Note: Gain or loss on plant held for future are recorded in accounts 411.6 or 411.7 respectiviely.  Sales will be funtionalized based on the description of that asset. Sales of transmission assets will be direct assigned; sales of general assets will be functionalized on labor.  Sales of plant held for future use related to generation or distribution will not be included in the formula.</t>
  </si>
  <si>
    <t>AEP EAST COMPANIES</t>
  </si>
  <si>
    <t>Worksheet  - P CALCULATION OF</t>
  </si>
  <si>
    <t>TOTAL WEIGHTED AVERAGE DEPRECIATION RATES</t>
  </si>
  <si>
    <t>FOR TRANSMISSION PLANT PROPERTY ACCOUNT</t>
  </si>
  <si>
    <t>FOR MULTIPLE JURISDICTION COMPANIES</t>
  </si>
  <si>
    <t>FERC WHOLESALE</t>
  </si>
  <si>
    <t>COMPANY</t>
  </si>
  <si>
    <t>WTD AVG.</t>
  </si>
  <si>
    <t>PLANT</t>
  </si>
  <si>
    <t>ALLOCATION</t>
  </si>
  <si>
    <t>DEPREC.</t>
  </si>
  <si>
    <t>APPROVED</t>
  </si>
  <si>
    <t>ACCT.</t>
  </si>
  <si>
    <t>RATES</t>
  </si>
  <si>
    <t>RATE</t>
  </si>
  <si>
    <t xml:space="preserve"> TRANSMISSION PLANT</t>
  </si>
  <si>
    <t xml:space="preserve">  Structures &amp; Improvements</t>
  </si>
  <si>
    <t xml:space="preserve">  Station Equipment</t>
  </si>
  <si>
    <t xml:space="preserve">  Towers &amp; Fixtures</t>
  </si>
  <si>
    <t xml:space="preserve">  Poles &amp; Fixtures</t>
  </si>
  <si>
    <t xml:space="preserve">  Underground Conduit</t>
  </si>
  <si>
    <t xml:space="preserve">  Underground Conductors</t>
  </si>
  <si>
    <t>GENERAL NOTES:</t>
  </si>
  <si>
    <t xml:space="preserve"> O &amp; M EXPENSE SUBTOTAL</t>
  </si>
  <si>
    <t xml:space="preserve">Includes functional wages &amp; salaries billed by AEP Service Corporation  for support of the operating company. </t>
  </si>
  <si>
    <t>321.112.b</t>
  </si>
  <si>
    <t>322.131.b</t>
  </si>
  <si>
    <t>323.185.b</t>
  </si>
  <si>
    <t>336.7.f</t>
  </si>
  <si>
    <t>336.10.f</t>
  </si>
  <si>
    <t>336.1.f</t>
  </si>
  <si>
    <t>(Note N)</t>
  </si>
  <si>
    <t>336.8.f</t>
  </si>
  <si>
    <t>336.2-6.f</t>
  </si>
  <si>
    <t xml:space="preserve"> (Note O)</t>
  </si>
  <si>
    <t>T</t>
  </si>
  <si>
    <t>(Note S)</t>
  </si>
  <si>
    <t xml:space="preserve">       and FIT, SIT &amp; p are as given in Note O.</t>
  </si>
  <si>
    <t>354.23.b</t>
  </si>
  <si>
    <t>354.24,25,26.b</t>
  </si>
  <si>
    <t>354.20.b</t>
  </si>
  <si>
    <t>REVENUE REQUIREMENT FOR SCHEDULE 1A CHARGES</t>
  </si>
  <si>
    <t>Total 561 Internally Developed Costs</t>
  </si>
  <si>
    <t xml:space="preserve">Total Load Dispatch &amp; Scheduling (Account 561) </t>
  </si>
  <si>
    <t>FF1, p. 227, ln 8, Col. (c) &amp; (b)</t>
  </si>
  <si>
    <t>FF1, p. 227, ln 11, Col. (c) &amp; (b)</t>
  </si>
  <si>
    <t>FF1, p. 227, ln 16, Col. (c) &amp; (b)</t>
  </si>
  <si>
    <t>Distribution</t>
  </si>
  <si>
    <t>State Business &amp; Occupation Tax</t>
  </si>
  <si>
    <t>Production Taxes</t>
  </si>
  <si>
    <t>State Severance Taxes</t>
  </si>
  <si>
    <t>FF1, page 205 Col.(g) &amp; pg. 204 Col. (b), ln 46</t>
  </si>
  <si>
    <t>FF1, page 207 Col.(g) &amp; pg. 206 Col. (b), ln 58</t>
  </si>
  <si>
    <t>FF1, page 207 Col.(g) &amp; pg. 206 Col. (b), ln 75</t>
  </si>
  <si>
    <t>FF1, page 207 Col.(g) &amp; pg. 206 Col. (b), ln 74</t>
  </si>
  <si>
    <t>FF1, page 205 Col.(g) &amp; pg. 204 Col. (b), ln 5</t>
  </si>
  <si>
    <t>FF1, page 205&amp;204, Col.(g)&amp;(b), lns 15,24,34,44</t>
  </si>
  <si>
    <t xml:space="preserve">   Effective State Tax Rate</t>
  </si>
  <si>
    <t>FF1, p. 274 - 275, ln 5, Col. (k)</t>
  </si>
  <si>
    <t>Current Projected Year Incentive ARR</t>
  </si>
  <si>
    <t>SUMMARY OF PROJECTED ANNUAL RTEP  REVENUE REQUIREMENTS</t>
  </si>
  <si>
    <t>TRUE-UP YEAR</t>
  </si>
  <si>
    <t>As Projected in Prior Year WS J</t>
  </si>
  <si>
    <t>SUMMARY OF TRUED-UP ANNUAL REVENUE REQUIREMENTS FOR RTEPPROJECTS</t>
  </si>
  <si>
    <t>Prior Yr Projected</t>
  </si>
  <si>
    <t>Prior Yr True-Up</t>
  </si>
  <si>
    <t>True-Up Adjustment</t>
  </si>
  <si>
    <t xml:space="preserve">Average </t>
  </si>
  <si>
    <t>CUMULATIVE HISTORY OF PROJECTED ANNUAL REVENUE REQUIREMENTS:</t>
  </si>
  <si>
    <t>In order to calculate the proper monthly RTEP billing amount, PJM requires a 12 month revenue requirement for each RTEP project.  As a result, notwithstanding the fact that the project was in service for a partial year, the project revenue requirement in the year that the project goes into service has been annualized (shown at the full-year level) so that PJM will collect the correct monthly billings.</t>
  </si>
  <si>
    <t>Relative Valuation Factor</t>
  </si>
  <si>
    <t>Functional Property Tax Allocation</t>
  </si>
  <si>
    <t>Real and Personal Property - Other Jurisdictions</t>
  </si>
  <si>
    <t>REVENUE REQUIREMENT For All Company Facilities</t>
  </si>
  <si>
    <t>A.   Determine Annual Revenue Requirement less return and Income Taxes.</t>
  </si>
  <si>
    <t>354.22.b</t>
  </si>
  <si>
    <t>with Incentives **</t>
  </si>
  <si>
    <t xml:space="preserve"> Worksheet J Supporting Calculation of PROJECTED PJM RTEP Project Revenue Requirement Billed to Benefiting Zones</t>
  </si>
  <si>
    <t xml:space="preserve"> Worksheet K Supporting Calculation of TRUE-UP PJM RTEP Project Revenue Requirement Billed to Benefiting Zones</t>
  </si>
  <si>
    <t>FF1, p. 266-267, ln 8, Col. (h)</t>
  </si>
  <si>
    <t xml:space="preserve"> Worksheet B Supporting ADIT and ITC Balances</t>
  </si>
  <si>
    <t>Less:  Load Dispatch - Scheduling, System Control and Dispatch Services (321.88.b)</t>
  </si>
  <si>
    <t>Less:  Load Dispatch - Reliability, Planning &amp; Standards Development Services (321.92.b)</t>
  </si>
  <si>
    <t xml:space="preserve">   R   (from A. above)</t>
  </si>
  <si>
    <t>CUMULATIVE HISTORY OF TRUED-UP ANNUAL REVENUE REQUIREMENTS:</t>
  </si>
  <si>
    <t>additional incentive requirement is applicable for the life of this specific project.  Each year the revenue requirement calculated for PJM</t>
  </si>
  <si>
    <t>Revenue credits include:</t>
  </si>
  <si>
    <t>3) Rental revenues earned on assets included in the rate base.</t>
  </si>
  <si>
    <t>4) Revenues for associated business projects provided by employees whose labor and overhead costs are in the transmission cost of service.</t>
  </si>
  <si>
    <t>(Note I) (Worksheet F, ln 4.C)</t>
  </si>
  <si>
    <t>FF1, page 219, ln 28, Col. (b)</t>
  </si>
  <si>
    <t xml:space="preserve">Account 450, Forfeited Discounts  (FF1 p.300.16.(b); Company Records - Note 1) </t>
  </si>
  <si>
    <t xml:space="preserve">Account 451,Miscellaneous Service Revenues  (FF1 p.300.17.(b); Company Records - Note 1) </t>
  </si>
  <si>
    <t xml:space="preserve">Account 454, Rent from Electric Property (FF1 p.300.19.(b); Company Records - Note 1) </t>
  </si>
  <si>
    <t>Accounts  4470004 &amp; 5, Revenues from Grandfathered Transmission Contracts - (Company Records - Note 1)</t>
  </si>
  <si>
    <t xml:space="preserve">     Plus: Transmission Lease Payments To Affiliates in Acct 565 (Company Records) (Note H)</t>
  </si>
  <si>
    <t>See Worksheet E for details.</t>
  </si>
  <si>
    <t xml:space="preserve"> Worksheet F Supporting Allocation of Specific O&amp;M or  A&amp;G Expenses</t>
  </si>
  <si>
    <t>Financial Hedge Recovery Limit  - Five Basis Points of Total Capital</t>
  </si>
  <si>
    <t>Limit of Recoverable Amount</t>
  </si>
  <si>
    <t>T =  Transmission</t>
  </si>
  <si>
    <t>G = General</t>
  </si>
  <si>
    <t>(Gain) / Loss</t>
  </si>
  <si>
    <t>U</t>
  </si>
  <si>
    <t>Worksheet C Supporting Working Capital Rate Base Adjustments</t>
  </si>
  <si>
    <t>Regulatory O&amp;M Deferrals &amp; Amortizations</t>
  </si>
  <si>
    <t>Total Regulatory Deferrals Included in Ratebase</t>
  </si>
  <si>
    <t>(Note E)</t>
  </si>
  <si>
    <t>Note 1</t>
  </si>
  <si>
    <t>(I)</t>
  </si>
  <si>
    <t xml:space="preserve">Average of </t>
  </si>
  <si>
    <t>Balances</t>
  </si>
  <si>
    <t xml:space="preserve">Subtotal - Form 1, p 111.57.c  </t>
  </si>
  <si>
    <t>(FF1 p.114, ln 19.c)</t>
  </si>
  <si>
    <t xml:space="preserve">  (State Income Tax Rate or Composite SIT.  Worksheet G))</t>
  </si>
  <si>
    <t>Average</t>
  </si>
  <si>
    <t>FF1, page 219, ln 26, Col. (b)</t>
  </si>
  <si>
    <t>FF1, page 200, ln 21, Col. (b)</t>
  </si>
  <si>
    <t>Account 281</t>
  </si>
  <si>
    <t>Account 282</t>
  </si>
  <si>
    <t>Account 283</t>
  </si>
  <si>
    <t xml:space="preserve">Account 190 </t>
  </si>
  <si>
    <t>Account 255</t>
  </si>
  <si>
    <t>FF1, p. 234, ln 8, Col. (c)</t>
  </si>
  <si>
    <t>Year End Utility Deferrals</t>
  </si>
  <si>
    <t>Transmission Related Deferrals</t>
  </si>
  <si>
    <t>FF1, p. 272 - 273, ln 8, Col. (k)</t>
  </si>
  <si>
    <t>FF1, p. 276 - 277, ln 9, Col. (k)</t>
  </si>
  <si>
    <t>Less:  ARO Related Deferrals</t>
  </si>
  <si>
    <t>Less: Other Excluded Deferrals</t>
  </si>
  <si>
    <t>Year End ITC Balances</t>
  </si>
  <si>
    <t xml:space="preserve">Less:  Balances Not Qualified for Ratebase </t>
  </si>
  <si>
    <t xml:space="preserve">Plant </t>
  </si>
  <si>
    <t>Related</t>
  </si>
  <si>
    <t>(E)+(F)+(G)</t>
  </si>
  <si>
    <t>Transmission Materials &amp; Supplies</t>
  </si>
  <si>
    <t xml:space="preserve"> Worksheet G Supporting - Development of Composite State Income Tax Rate</t>
  </si>
  <si>
    <t>General Materials &amp; Supplies</t>
  </si>
  <si>
    <t xml:space="preserve">  Stores Expense </t>
  </si>
  <si>
    <t>Excludable</t>
  </si>
  <si>
    <t>Plant Related Insurance Policies</t>
  </si>
  <si>
    <t>Excess Deferred Income Tax</t>
  </si>
  <si>
    <t>Tax Affect of Permanent Differences</t>
  </si>
  <si>
    <t>Facility Credits under PJM OATT Section 30.9</t>
  </si>
  <si>
    <t xml:space="preserve"> Revenue Requirement for PJM Schedule 12 Facilities (w/o incentives)  (Worksheet J/K)</t>
  </si>
  <si>
    <t>(Worksheet B, ln 2 &amp; ln 5.E)</t>
  </si>
  <si>
    <t>(Worksheet B, ln 7 &amp; ln 10.E)</t>
  </si>
  <si>
    <t>(Worksheet B, ln 12 &amp; ln 15.E)</t>
  </si>
  <si>
    <t>(Worksheet B, ln 17 &amp; ln 20.E)</t>
  </si>
  <si>
    <t>(Worksheet B, ln 24 &amp; ln 25.E)</t>
  </si>
  <si>
    <t>(Worksheet C, ln 2.(F))</t>
  </si>
  <si>
    <t>(Worksheet C, ln 3.(F))</t>
  </si>
  <si>
    <t>(Worksheet C, ln 4.(F))</t>
  </si>
  <si>
    <t>(Note F) (Worksheet D, ln 8.B)</t>
  </si>
  <si>
    <t xml:space="preserve"> (Note U)</t>
  </si>
  <si>
    <t xml:space="preserve"> Worksheet I RESERVED FOR FUTURE USE</t>
  </si>
  <si>
    <t xml:space="preserve"> Worksheet L Reserved for Future Use</t>
  </si>
  <si>
    <t>True-up Adjustment - Over (Under) Recovery</t>
  </si>
  <si>
    <t>Interest Rate on Amount of Refunds or Surcharges</t>
  </si>
  <si>
    <t>Over (Under) Recovery Plus Interest</t>
  </si>
  <si>
    <t>Average Monthly Interest Rate</t>
  </si>
  <si>
    <t>Months</t>
  </si>
  <si>
    <t>Calculated Interest</t>
  </si>
  <si>
    <t>Amortization</t>
  </si>
  <si>
    <t>Surcharge (Refund) Owed</t>
  </si>
  <si>
    <t xml:space="preserve"> from 35.19a  </t>
  </si>
  <si>
    <t>Calculation of Interest</t>
  </si>
  <si>
    <t>Monthly</t>
  </si>
  <si>
    <t>February</t>
  </si>
  <si>
    <t>October</t>
  </si>
  <si>
    <t>November</t>
  </si>
  <si>
    <t>Annual</t>
  </si>
  <si>
    <t>January  through December</t>
  </si>
  <si>
    <t>Over (Under) Recovery Plus Interest Amortized and Recovered Over 12 Months</t>
  </si>
  <si>
    <t>Less Over (Under) Recovery</t>
  </si>
  <si>
    <t>Total Interest</t>
  </si>
  <si>
    <t>Cost of Service Formula Rate Using Actual/Projected FF1 Balances</t>
  </si>
  <si>
    <t>Worksheet Q - True-up With Interest</t>
  </si>
  <si>
    <t>True-Up Adjustment with Interest</t>
  </si>
  <si>
    <t>Note 1:  The interest rate to be applied to the over recovery or under recovery amounts will be determined using the average monthly FERC interest rate (as determined pursuant to 18 C.F.R. Section 35.19a) for the twenty (20) months from the beginning of the rate year being trued-up through August 31 of the following year.</t>
  </si>
  <si>
    <t>(Worksheet C, ln 8.F)</t>
  </si>
  <si>
    <t>(Worksheet C, ln 8.G)</t>
  </si>
  <si>
    <t>(Worksheet C, ln 8.E)</t>
  </si>
  <si>
    <t>(Worksheet C, ln 8.D)</t>
  </si>
  <si>
    <t>7) If AEP East companies have any directly assigned transmission facilities, the revenue credits in the AEP East formula rate shall include all revenues associated with those directly assigned transmission facilities, irrespective of whether the loads of the customer are included in the formula rate divisor; provided however, such addition to revenue credits shall not be reflected if the costs of such directly assigned transmission facilities are not included in the transmission plant balances on which the formula rate ATRR is based.</t>
  </si>
  <si>
    <t>The company will not include the ADIT portion of deferred hedge gains and losses in rate base.  Detailed balances for the projected or actual period, distinguished between utility and non-utility balances, will be filed and posted as part of the information filing.</t>
  </si>
  <si>
    <t xml:space="preserve">The total-company balances shown for Accounts 281, 282, 283, 190 only reflect ADIT that relates to utility operations. The balance of Account 255 is reduced by prior flowthrough and is completely excluded if the utility chose to utilize amortization of tax credits against FIT expense. An exception to this is pre-1971 ITC balances, which are required to be taken as an offset to rate base. Account 281 is not allocated.  </t>
  </si>
  <si>
    <t>In compliance with FERC Rulemaking the calculation of ADIT in the annual projection will be performed in accordance with IRS regulation Section1.167(I)-I(h)(6)(ii).</t>
  </si>
  <si>
    <t>RM02-7-000, Asset Retirement Obligation deferrals have been removed from ratebase. Transmission ADIT allocations are shown on WS B.</t>
  </si>
  <si>
    <t xml:space="preserve">Removes the impact of state regulatory deferrals or their amortization from Transmission O&amp;M expense. </t>
  </si>
  <si>
    <t>Expenses recorded in FERC Accounts 928 (Regulatory Commission Expense), 930.1 (Safety Related Advertising) and 930.2 (Miscellaneouse General Expenses) that are not directly related to or properly allocable to transmission service will be removed from the TCOS.  If AEP includes any expenses booked to these accounts in future ATRR updates, AEP must provide supporting information demonstrating that the underlying activities are directly related to providing transmission service.  Account 930.2 includes the expenses incurred by the transmission function for Associated Business Development revenues given as a credit to the TCOS on Worksheet E.</t>
  </si>
  <si>
    <t>The cost rates for long-term debt shall include interest expense and related periodic expenses (such as remarketing and letter of credit fees) as recorded in FERC Account 427 or 430, amortization of issuance costs (including insurance) and discounts as recorded in FERC Account 428, issuance premiums as recorded in FERC Account 429 and losses or gains on reacquired debt as recorded in FERC Accounts 428.1 or 429.1, respectively.  The cost rates for preferred stock (if applicable) shall include the dividends.</t>
  </si>
  <si>
    <t>Cash investment in prepaid pension and benefits recorded in FERC Account 165 is permitted to be included in the formula.  A labor expense allocation factor will be used to allocate total company costs.  All other prepayments recorded in FERC Account 165 are directly assigned to the transmission function,  allocated or excludable balances detailed on Worksheet C.</t>
  </si>
  <si>
    <t>V</t>
  </si>
  <si>
    <t>X</t>
  </si>
  <si>
    <t>W</t>
  </si>
  <si>
    <t>The formula rate shall allocate property tax expense based on the as filed net plant cost allocation method detailed on Worksheet H.</t>
  </si>
  <si>
    <t>Under Section 30.9 of the PJM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</si>
  <si>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 xml:space="preserve">   Annual Revenue Requirement, Less Lease Payments, Return and Taxes</t>
  </si>
  <si>
    <t>ADDITIONAL REVENUE REQUIREMENT for projects w/ incentive ROE's (Note B) (Worksheet J/K)</t>
  </si>
  <si>
    <t xml:space="preserve">The formula rate shall reflect the applicable state and federal statutory tax rates in effect during the period the calculated estimated unit charges are applicable.  </t>
  </si>
  <si>
    <t>If the statutory tax rates change during such period, the effective tax rates used in the formula shall be weighted by the number of days the pre-change rate and post-change rate each is in effect.</t>
  </si>
  <si>
    <t>The annual and monthly net plant carrying charges on page 1 are used to compute the revenue requirement for RTEP sponsored upgrades or those projects receiving approved incentive-ROE's.  Interest  will be calculated based on Worksheet Q and any over under recovery will be filed and posted as part of the informational filing.</t>
  </si>
  <si>
    <t>AR Factoring - Retail Only</t>
  </si>
  <si>
    <t xml:space="preserve">**  This is the total amount that needs to be reported to PJM for billing to all regions. </t>
  </si>
  <si>
    <t>## This is the calculation of  additional incentive revenue on projects deemed by the FERC to be eligible for an incentive return.  This</t>
  </si>
  <si>
    <t>VIRGINIA</t>
  </si>
  <si>
    <t>WEST VIRGINIA</t>
  </si>
  <si>
    <t>FERC KINGSPORT</t>
  </si>
  <si>
    <t>PSC OF WV</t>
  </si>
  <si>
    <t>VA SCC</t>
  </si>
  <si>
    <t>FACTOR  (5)</t>
  </si>
  <si>
    <t xml:space="preserve">  Land Rights - Va.</t>
  </si>
  <si>
    <t xml:space="preserve">  Energy Storage Equip</t>
  </si>
  <si>
    <t xml:space="preserve">  Overhead Conductor</t>
  </si>
  <si>
    <t xml:space="preserve">(4)  </t>
  </si>
  <si>
    <t xml:space="preserve">(5)  </t>
  </si>
  <si>
    <t>Attachment H-14B, Part II, pg. 15 of 21.</t>
  </si>
  <si>
    <t xml:space="preserve">(6)  </t>
  </si>
  <si>
    <t>APCo falls under the authority of Virginia, West Virginia and the FERC.  Therefore, APCo's rates are a composite of the jurisdictions under which it operates. Each jurisdictions' rate is multiplied by an allocation factor, and the product for each jurisdiction is added with the other jurisdictions to derive the composite rate for the company.</t>
  </si>
  <si>
    <t xml:space="preserve">(Worksheet E Ln 8) (Note A) </t>
  </si>
  <si>
    <t>(Worksheet E Ln 9) (Note X)</t>
  </si>
  <si>
    <t>Note 2</t>
  </si>
  <si>
    <t>The total of line 4 and line 5 will equal total Account 456 as listed on FF1 p.300.21-22.(b)</t>
  </si>
  <si>
    <t>5a</t>
  </si>
  <si>
    <t>5b</t>
  </si>
  <si>
    <t>Account 457.2, Miscellaneous Revenues (FF1p.300.24.(b); Company Records - Note 1)</t>
  </si>
  <si>
    <t>Account 457.1, Regional Control Service  Revenues (FF1 p.300.23.(b); Company Records - Note 1)</t>
  </si>
  <si>
    <t>Total (FERC Form 1 p.323.189.b)</t>
  </si>
  <si>
    <t>Total (FERC Form 1 p.323.191.b)</t>
  </si>
  <si>
    <t>Total (FERC Form 1 p.323.192.b)</t>
  </si>
  <si>
    <t>Gross Proceeds Outstanding Long-Term Debt</t>
  </si>
  <si>
    <t>Y</t>
  </si>
  <si>
    <t>Note 1:</t>
  </si>
  <si>
    <t>Transmission Accum Depreciation net of GSU</t>
  </si>
  <si>
    <t>December  of Rate Year</t>
  </si>
  <si>
    <t xml:space="preserve">August </t>
  </si>
  <si>
    <t xml:space="preserve">March </t>
  </si>
  <si>
    <t>December Prior to Rate Year</t>
  </si>
  <si>
    <t>Company Records</t>
  </si>
  <si>
    <t>(Note A)</t>
  </si>
  <si>
    <t>(e)</t>
  </si>
  <si>
    <t>(d)</t>
  </si>
  <si>
    <t>(c)</t>
  </si>
  <si>
    <t>(b)</t>
  </si>
  <si>
    <t>(a)</t>
  </si>
  <si>
    <t>Excluded Plant  - Accumulated Depreciation</t>
  </si>
  <si>
    <t>Excluded Plant  - Plant In Service</t>
  </si>
  <si>
    <t>OATT Ancillary Services (GSU) Accumulated Depreciation</t>
  </si>
  <si>
    <t>OATT Ancillary Services (GSU) Plant In Service</t>
  </si>
  <si>
    <t>Month</t>
  </si>
  <si>
    <t>Line 
No</t>
  </si>
  <si>
    <t>(j)</t>
  </si>
  <si>
    <t>(i)</t>
  </si>
  <si>
    <t>(h)</t>
  </si>
  <si>
    <t>Intangible</t>
  </si>
  <si>
    <t>General ARO</t>
  </si>
  <si>
    <t>Distribution ARO</t>
  </si>
  <si>
    <t>Transmission ARO</t>
  </si>
  <si>
    <t>Production ARO</t>
  </si>
  <si>
    <t>Accumulated Depreciation</t>
  </si>
  <si>
    <t>Gross Plant In Service</t>
  </si>
  <si>
    <t xml:space="preserve"> Worksheet A Rate Base</t>
  </si>
  <si>
    <t>(f)</t>
  </si>
  <si>
    <t>(g)</t>
  </si>
  <si>
    <t>Acct. 359.1
FF1, page 207 Col.(g) &amp; pg. 206 Col. (b), ln 57</t>
  </si>
  <si>
    <t xml:space="preserve">
FF1, page 207 Col.(g) &amp; pg. 206 Col. (b), ln 99</t>
  </si>
  <si>
    <t>Acct. 399.1
FF1, page 207 Col.(g) &amp; pg. 206 Col. (b), ln 98</t>
  </si>
  <si>
    <t>Company Records (Included in total in Column (b))</t>
  </si>
  <si>
    <t>Company Records (Included in total in Column (d))</t>
  </si>
  <si>
    <t>Company Records (Included in total in Column (f))</t>
  </si>
  <si>
    <t>Company Records (Included in total in Column (h))</t>
  </si>
  <si>
    <t>Company Records (included in total in column (d) of gross plant above)</t>
  </si>
  <si>
    <t>Company Records (included in total in column (b) of accumulated depreciation above)</t>
  </si>
  <si>
    <t>Tax Year</t>
  </si>
  <si>
    <t>NOTE 2: The ratebase should not include the unamoritzed balance of hedging gains or losses.</t>
  </si>
  <si>
    <t xml:space="preserve">NOTE 1: On this worksheet, "Company Records" refers to AEP's property accounting ledger. </t>
  </si>
  <si>
    <t>Worksheet M Supporting Calculation of Capital Structure and Weighted Average Cost of Capital</t>
  </si>
  <si>
    <t>Proprietary Capital</t>
  </si>
  <si>
    <t>Less Undistributed Sub Earnings (Acct 216.1)</t>
  </si>
  <si>
    <t>Less AOCI (Acct 219.1)</t>
  </si>
  <si>
    <t>(f)=(b)-( c)-(d)-( e)</t>
  </si>
  <si>
    <t xml:space="preserve"> (FF1 112.16)</t>
  </si>
  <si>
    <t xml:space="preserve"> (FF1 250-251)</t>
  </si>
  <si>
    <t xml:space="preserve"> (FF1 112.12)</t>
  </si>
  <si>
    <t>(FF1 112.15)</t>
  </si>
  <si>
    <t>Average Balance of Long Term Debt</t>
  </si>
  <si>
    <t>Less: Fair Value Hedges</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</si>
  <si>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</si>
  <si>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</si>
  <si>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</si>
  <si>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</si>
  <si>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</si>
  <si>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</si>
  <si>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</si>
  <si>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Acct 224
Senior Unsecured Notes</t>
  </si>
  <si>
    <t>Acct 223 
LT Advances from Assoc. Companies</t>
  </si>
  <si>
    <t>Less: Acct 222 Reacquired Bonds</t>
  </si>
  <si>
    <t>Acct 221 
Bonds</t>
  </si>
  <si>
    <t>(DEBIT)  CREDIT</t>
  </si>
  <si>
    <t>COLUMN A</t>
  </si>
  <si>
    <t>COLUMN B</t>
  </si>
  <si>
    <t>COLUMN C</t>
  </si>
  <si>
    <t>COLUMN D</t>
  </si>
  <si>
    <t>COLUMN E</t>
  </si>
  <si>
    <t>COLUMN F</t>
  </si>
  <si>
    <t>COLUMN G</t>
  </si>
  <si>
    <t>COLUMN H</t>
  </si>
  <si>
    <t>COLUMN I</t>
  </si>
  <si>
    <t>COLUMN J</t>
  </si>
  <si>
    <t>COLUMN K</t>
  </si>
  <si>
    <t>COLUMN L</t>
  </si>
  <si>
    <t>COLUMN M</t>
  </si>
  <si>
    <t>COLUMN N</t>
  </si>
  <si>
    <t>COLUMN O</t>
  </si>
  <si>
    <t>PER BOOKS</t>
  </si>
  <si>
    <t>NON-APPLICABLE/NON-UTILITY</t>
  </si>
  <si>
    <t>AVERAGE</t>
  </si>
  <si>
    <t>FUNCTIONALIZATION AVERAGE</t>
  </si>
  <si>
    <t xml:space="preserve">ELECTRIC </t>
  </si>
  <si>
    <t>BALANCE AS</t>
  </si>
  <si>
    <t>UTILITY</t>
  </si>
  <si>
    <t>ACCUMULATED DEFERRED FIT ITEMS</t>
  </si>
  <si>
    <t>(B+C+D+E)/2</t>
  </si>
  <si>
    <t>GENERATION</t>
  </si>
  <si>
    <t>TRANSMISSION</t>
  </si>
  <si>
    <t>DISTRIBUTION</t>
  </si>
  <si>
    <t>ACCOUNT 281:</t>
  </si>
  <si>
    <t>TOTAL ACCOUNT 281</t>
  </si>
  <si>
    <t>ACCOUNT 282:</t>
  </si>
  <si>
    <t>TOTAL ACOUNT 282</t>
  </si>
  <si>
    <t>ACCOUNT 283:</t>
  </si>
  <si>
    <t>DEFD STATE INCOME TAXES</t>
  </si>
  <si>
    <t>TOTAL ACCOUNT 283</t>
  </si>
  <si>
    <t>JURISDICTIONAL AMOUNTS FUNCTIONALIZED</t>
  </si>
  <si>
    <t>TOTAL COMPANY AMOUNTS FUNCTIONALIZED</t>
  </si>
  <si>
    <t>REFUNCTIONALIZED BASED ON JURISDICTIONAL PLANT</t>
  </si>
  <si>
    <t>NOTE:  POST 1970 ACCUMULATED DEFERRED</t>
  </si>
  <si>
    <t xml:space="preserve">             INV TAX CRED. (JDITC) IN A/C 255</t>
  </si>
  <si>
    <t>TOTAL ACCOUNT 255</t>
  </si>
  <si>
    <t>DEBIT  (CREDIT)</t>
  </si>
  <si>
    <t>ACCOUNT 190:</t>
  </si>
  <si>
    <t>TOTAL ACCOUNT 190</t>
  </si>
  <si>
    <t>ACCOUNT 282 - ARO-Related Deferals</t>
  </si>
  <si>
    <t>ACCOUNT 283 - ARO-Related Deferals</t>
  </si>
  <si>
    <t>ACCOUNT 190 - ARO-Related Deferals</t>
  </si>
  <si>
    <t>ACCOUNT 281 - ARO-Related Deferrals</t>
  </si>
  <si>
    <t>UNFUNDED RESERVES (ENTER NEGATIVE) (NOTE Y)</t>
  </si>
  <si>
    <t>Tax Effect of Permanent and Flow-Through Differences</t>
  </si>
  <si>
    <t>323.197.b (Notes J and M)</t>
  </si>
  <si>
    <t>53a</t>
  </si>
  <si>
    <t>53b</t>
  </si>
  <si>
    <t>Real Estate and Personal Property Taxes Total
(Ln 4 + Ln 5 + Ln 6 + Ln 7)</t>
  </si>
  <si>
    <t>Transmission Function
(Note 2)</t>
  </si>
  <si>
    <t>Total
Company</t>
  </si>
  <si>
    <t>FERC FORM 1
Tie-Back</t>
  </si>
  <si>
    <t>Real Estate and Personal Propety Tax Detail 
Annual Tax Expenses by Type (Note 1)</t>
  </si>
  <si>
    <t>Unfunded Reserves Summary (Company Records)</t>
  </si>
  <si>
    <t>GP</t>
  </si>
  <si>
    <r>
      <t>NP</t>
    </r>
    <r>
      <rPr>
        <b/>
        <strike/>
        <sz val="12"/>
        <color indexed="10"/>
        <rFont val="Arial"/>
        <family val="2"/>
      </rPr>
      <t/>
    </r>
  </si>
  <si>
    <t>Excess / (Deficit) Deferred Income Taxes will be amortized over the average remaining life of the assets to which it relates, unless the Commission requires a different amortization period. The Tax Effect of Permanent Differences captures the differences in the income taxes due under the Federal and State tax calculations that are not the result of a timing difference, including but not limited to depreciation related to capitalized AFUDC equity and meals and entertainment deductions. The Tax Effect of Flow-Through differences captures current tax expense related to timing differences on items for which tax deductions were used to reduce customer rates through the use of flow-through accounting in a prior period.  Transmission balances for the projected or actual period, will be filed and posted as part of the informational filing.</t>
  </si>
  <si>
    <t>Prepayment Balance Summary (Note 1)</t>
  </si>
  <si>
    <t>Stores Expense (Undistributed) - Account 163</t>
  </si>
  <si>
    <t>Account 4560015, Associated Business Development - (Company Records - Notes 1, 2)</t>
  </si>
  <si>
    <t>Account 456 - Other Electric Revenues - (Company Records - Notes 1,2)</t>
  </si>
  <si>
    <t>Note 1: The taxes assessed on each operating company can differ from year to year and between operating companies by both the type of taxes and the states in which they were assessed.  Therefore, for each company, the types and jurisdictions of tax expense recorded on this page could differ from the same page in the same company's prior year template or from this page in other operating companies' current year templates. For each update, this sheet will be revised to ensure that the total activity recorded hereon equals the total reported in account 408.1 on P. 114, Ln 14.(c) of the Ferc Form 1.</t>
  </si>
  <si>
    <t>Interest on Long Term Debt - Accts 221 - 224 (256-257.33.i)</t>
  </si>
  <si>
    <t>Amort of Debt Discount &amp; Expense - Acct 428 (117.63.c)</t>
  </si>
  <si>
    <t>Amort of Loss on Reacquired Debt - Acct 428.1 (117.64.c)</t>
  </si>
  <si>
    <t>Less: Amort of Premium on Debt - Acct 429 (117.65.c)</t>
  </si>
  <si>
    <t>Less: Amort of Gain on Reacquired Debt - Acct 429.1 (117.66.c)</t>
  </si>
  <si>
    <t>Worksheet K -  ATRR TRUE-UP Calculation for PJM Projects Charged to Benefiting Zones</t>
  </si>
  <si>
    <t>INDIANA MICHIGAN POWER COMPANY</t>
  </si>
  <si>
    <t>INDIANA</t>
  </si>
  <si>
    <t>MPSC</t>
  </si>
  <si>
    <t>IURC</t>
  </si>
  <si>
    <t>FACTOR  (4)</t>
  </si>
  <si>
    <t xml:space="preserve">  Land Improvements</t>
  </si>
  <si>
    <t xml:space="preserve">  Overhead Conductors</t>
  </si>
  <si>
    <t xml:space="preserve">  Trails &amp; Roads</t>
  </si>
  <si>
    <t xml:space="preserve">  (4) The rates approved for each jurisdiction are updated when approved by that commission.  These demand-based allocation factors for all jurisdictions are updated when new rates are approved in one of the jurisdictions.  These allocation factors reflect I&amp;M's 12 monthly Coincident Peaks during test year of the most recent rate case.</t>
  </si>
  <si>
    <t>I&amp;M falls under the authority of Indiana, Michigan and the FERC.  Therefore, I&amp;M's rates are a composite of the jurisdictions under which it operates. Each jurisdictions' rate is multiplied by an allocation factor, and the product for each jurisdiction is added with the other jurisdictions to derive the composite rate for the company.</t>
  </si>
  <si>
    <t>PJM FORMULA RATE</t>
  </si>
  <si>
    <t>WORKSHEET P - TRANSMISSION DEPRECIATION RATES</t>
  </si>
  <si>
    <t>EFFECTIVE AS OF 09/1/2016</t>
  </si>
  <si>
    <t>FOR SINGLE JURISDICTION COMPANIES</t>
  </si>
  <si>
    <t>KINGSPORT POWER COMPANY</t>
  </si>
  <si>
    <t xml:space="preserve">  Composite Transmission Depreciation Rate</t>
  </si>
  <si>
    <t>Reference:</t>
  </si>
  <si>
    <t>Note 1:   Rates Approved In Tennessee Regulatory Authority Docket No. 16-00001.</t>
  </si>
  <si>
    <t>Note 2:  Kingsport Power Company does not have investment in plant accounts 357 or 358.  Therefore, there are no depreciation rates approved for these plant accounts.</t>
  </si>
  <si>
    <t>General Note</t>
  </si>
  <si>
    <t>EFFECTIVE AS OF 07/1/2015</t>
  </si>
  <si>
    <t>KENTUCKY  POWER COMPANY</t>
  </si>
  <si>
    <t xml:space="preserve">  Land Rights</t>
  </si>
  <si>
    <t>Note 1:  Rates Approved in KPSC Case No. 2014-00396.</t>
  </si>
  <si>
    <t>OHIO POWER COMPANY</t>
  </si>
  <si>
    <t xml:space="preserve">   Twrs and Fixtures Above 69 KV</t>
  </si>
  <si>
    <t xml:space="preserve">   Twrs and Fixtures Below 69 KV</t>
  </si>
  <si>
    <t xml:space="preserve">   Poles and Fixtures Above 69 KV</t>
  </si>
  <si>
    <t xml:space="preserve">   Poles and Fixtures Below 69 KV</t>
  </si>
  <si>
    <t xml:space="preserve">   Overhead Conductor &amp; Devices Above 69KV</t>
  </si>
  <si>
    <t xml:space="preserve">   Overhead Conductor &amp; Devices MSP</t>
  </si>
  <si>
    <t xml:space="preserve">   Overhead Conductor &amp; Devices 138KV/Above</t>
  </si>
  <si>
    <t xml:space="preserve">   Overhead Conductor &amp; Devices 69KV/Below</t>
  </si>
  <si>
    <t xml:space="preserve">   Overhead Conductor &amp; Devices CLR 69KV/Below</t>
  </si>
  <si>
    <t>General Note:</t>
  </si>
  <si>
    <t>WHEELING POWER COMPANY</t>
  </si>
  <si>
    <t>-</t>
  </si>
  <si>
    <t>GENERAL PLANT</t>
  </si>
  <si>
    <t>Structures &amp; Improvements</t>
  </si>
  <si>
    <t>Office Furniture &amp; Equipment</t>
  </si>
  <si>
    <t>Stores Equipment</t>
  </si>
  <si>
    <t>Tools Shop &amp; Garage Equipment</t>
  </si>
  <si>
    <t>Laboratory Equipment</t>
  </si>
  <si>
    <t>Communication Equipment</t>
  </si>
  <si>
    <t>Miscellaneous Equipment</t>
  </si>
  <si>
    <t>Total General Plant</t>
  </si>
  <si>
    <t>On this worksheet, "Company Records" refers to AEP's tax forecast and accounting ledger.  The PTRR will use projected ending balances and reflect proration required by IRS Letter Rule Section I.I67(I)-I(h)(6)(ii).  Line item detail of actual deferred tax items will be included on Worksheets B-1 and B-2.</t>
  </si>
  <si>
    <t>Tax Year 
Factor
(Note 2)</t>
  </si>
  <si>
    <t>SPECIFIED DEFERRED CREDITS - Actual Cycle Only</t>
  </si>
  <si>
    <t>ACCUMULATED DEFERRED INCOME TAX IN ACCOUNT 190 - Actual Cycle Only</t>
  </si>
  <si>
    <t>Twelve Months Ended</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</si>
  <si>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</si>
  <si>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r>
      <t>Transmission Plant Held For Future Use</t>
    </r>
    <r>
      <rPr>
        <b/>
        <sz val="10"/>
        <rFont val="Arial"/>
        <family val="2"/>
      </rPr>
      <t xml:space="preserve"> (Included in total on line 44)</t>
    </r>
  </si>
  <si>
    <t>AEP will make a 205 filing whenever a company's rates are changed by their commission(s), or if the methodology to calculate the jurisdictional allocator in multiple-state companies changes.   Changes in the allocation factors will not necessitate a 205 filing.</t>
  </si>
  <si>
    <t>Total AEP East Operating Company PBOP Settlement Amount</t>
  </si>
  <si>
    <t>Total Company Amount</t>
  </si>
  <si>
    <t>Actual Expense (Including AEPSC Billed OPEB)</t>
  </si>
  <si>
    <t>Ratio of Company Actual to Total</t>
  </si>
  <si>
    <t>Allocation of PBOB Recovery Allowance</t>
  </si>
  <si>
    <t>One Year Functional Expense (Over)/Under</t>
  </si>
  <si>
    <t>Allowable Expense</t>
  </si>
  <si>
    <t>Line#</t>
  </si>
  <si>
    <t>Actual Expense</t>
  </si>
  <si>
    <t>(B)=(A)/Total (A)</t>
  </si>
  <si>
    <t>(E)=(A) * (D)</t>
  </si>
  <si>
    <t>(F)=(C) * (D)</t>
  </si>
  <si>
    <t>(G)=(E) - (F)</t>
  </si>
  <si>
    <t>APCo</t>
  </si>
  <si>
    <t>I&amp;M</t>
  </si>
  <si>
    <t>KPCo</t>
  </si>
  <si>
    <t>KNGP</t>
  </si>
  <si>
    <t>OPCo</t>
  </si>
  <si>
    <t>WPCo</t>
  </si>
  <si>
    <t>KNGSPT</t>
  </si>
  <si>
    <t>AEP East Total</t>
  </si>
  <si>
    <t>Direct Charged PBOP Expense per Actuarial Report</t>
  </si>
  <si>
    <t>Additional PBOP Ledger Entries (from Company Records)</t>
  </si>
  <si>
    <t>Medicare Subsidy</t>
  </si>
  <si>
    <t>PBOP Expenses From AEP Service Corporation (from Company Records)</t>
  </si>
  <si>
    <t xml:space="preserve">For the rate year 2017 and adjusted every four years thereafter, using the annual actuarial report produced for that year, filed as part of the informational filing, Worksheet O will be used to adjust PBOP costs for the next four years (i.e. 2017, 2018, 2019, 2020).  If the annual actuarial report projects PBOP costs during the next four years, taken together with the then current cumulative PBOP cost/allowance position, will, absent a change in the PBOP allowance, cause the AEP Companies to over or under collect their cumulative PBOP costs by more than 20% of the projected next four year’s total cost, the PBOP allowance shall be adjusted. Worksheet O will be used in the process of updating the PBOP allowance determining (a)  the level of cumulative over or under collections during the period since the PBOP allowance was last set, including carrying costs based on the weighted average cost of capital (“WACC”) each year from the actual formula rate; (b) the cumulative net present value of projected PBOP costs during the next four years, as estimated by the then current actuarial report, assuming a discount rate equal to the actual formula rate weighted average cost of capital for the prior calendar year; and (c) the cumulative net present value of continued collections over the next four years based on the then effective PBOP allowance, assuming a discount rate equal to the prior year WACC.  If the absolute value of (a)+(b)-(c) exceeds 20% of (b), then the PBOP allowance used in the formula rate calculation shall be changed to the value that will cause the projected result (a)+(b)-(c) to equal zero.  If the projected over or under collection during the next four years will be less than 20% of (b), then the PBOP allowacance will continue in effect for the next four years at the then effective rate.  If it is determined through this procedure AEP Companies will over-recover or under-recover actual PBOP expenses by more than 20% over the subsequent four-year period, AEP shall make a filing under FPA Section 205 to change the PBOP expense stated in the formula rate shown on Worksheet O.  No other changes to the formula rate may be included in that filing. </t>
  </si>
  <si>
    <t>Worksheet O - Calculation of Postemployment Benefits Other than Pensions Expenses Allocable to Transmission Service</t>
  </si>
  <si>
    <t>Detail of Actual PBOP Expenses to be Removed in Cost of Service</t>
  </si>
  <si>
    <t>Acct. 9260039 PBOP Expense</t>
  </si>
  <si>
    <t xml:space="preserve">          Acct. 9260057 PBOP Medicare Subsidy</t>
  </si>
  <si>
    <t xml:space="preserve">               PBOP Expense Billed From AEPSC</t>
  </si>
  <si>
    <t xml:space="preserve">         Settlement Approved PBOP Recovery</t>
  </si>
  <si>
    <t>See note K above.  Per the settlement in Docket ER08-1329, recoverable PBOP expense is based on an annual total for the operating companies that is ratioed to them based on the total of actual annual PBOP costs, including charges from the AEP Service Corportation. The calculation of the recoverable amount for each company is shown on Worksheet O.</t>
  </si>
  <si>
    <t>PBOP Worksheet O, Col. C  (Note M)</t>
  </si>
  <si>
    <t>These deductions on lines 81 through 83 are to remove from the cost of service the expenses recorded by the company for Postemployment Benefits Other than Pensions (PBOP).  See Note M below for the recoverable PBOP expense.</t>
  </si>
  <si>
    <t xml:space="preserve">Average of the 13 Monthly Balances </t>
  </si>
  <si>
    <t>Average of the 13 Monthly Balances</t>
  </si>
  <si>
    <t>Note 2: The transmission functional amounts for any Real Estate and Property taxes listed on pages 263 of the FERC Form 1 will be allocated using the transmission functional allocator calculated for each state in Worksheet H of the applicable year that the taxes were assesed.  Real and Personal Property - Other Jurisdictions will be allocated using the Gross Plant Allocator from the applicable year.</t>
  </si>
  <si>
    <t>The cost of service will make a rate base adjustment to remove unfunded reserves associated with contingent liabilites recorded to Accounts 228.1-228.4 from rate base.</t>
  </si>
  <si>
    <t>Transmission Plant Balances in this study are projected or actual average of 13-month balances.</t>
  </si>
  <si>
    <t>Ohio Power Company</t>
  </si>
  <si>
    <t>Accum Prv I/D Worker's Com</t>
  </si>
  <si>
    <t>1650001</t>
  </si>
  <si>
    <t>Prepaid Insurance</t>
  </si>
  <si>
    <t>1650003</t>
  </si>
  <si>
    <t>Prepaid Rents</t>
  </si>
  <si>
    <t>1650004</t>
  </si>
  <si>
    <t>Prepaid Interest</t>
  </si>
  <si>
    <t>1650005</t>
  </si>
  <si>
    <t>Prepaid Employee Benefits</t>
  </si>
  <si>
    <t>1650006</t>
  </si>
  <si>
    <t>Other Prepayments</t>
  </si>
  <si>
    <t>1650009</t>
  </si>
  <si>
    <t>Prepaid Carry Cost-Factored AR</t>
  </si>
  <si>
    <t>1650010</t>
  </si>
  <si>
    <t>Prepaid Pension Benefits</t>
  </si>
  <si>
    <t>Prepaid Use Taxes</t>
  </si>
  <si>
    <t>1650013</t>
  </si>
  <si>
    <t>Gavin JMG ST Prepaid Exp - Aff</t>
  </si>
  <si>
    <t>1650014</t>
  </si>
  <si>
    <t>FAS 158 Qual Contra Asset</t>
  </si>
  <si>
    <t>1650016</t>
  </si>
  <si>
    <t>FAS 112 ASSETS</t>
  </si>
  <si>
    <t>Prepayments - Coal</t>
  </si>
  <si>
    <t>1650019</t>
  </si>
  <si>
    <t>Prepaid Pension Expense - CG&amp;E</t>
  </si>
  <si>
    <t>1650020</t>
  </si>
  <si>
    <t>Prepaid Pension Expense - DP&amp;L</t>
  </si>
  <si>
    <t>Prepaid Insurance - EIS</t>
  </si>
  <si>
    <t>1650023</t>
  </si>
  <si>
    <t>Prepaid Lease</t>
  </si>
  <si>
    <t>Other Prepayments-Long Term</t>
  </si>
  <si>
    <t>PRW Without Med-D Benefits</t>
  </si>
  <si>
    <t>PRW for Med-D Benefits</t>
  </si>
  <si>
    <t>FAS158 Contra-PRW Exc Med-D</t>
  </si>
  <si>
    <t>Prepaid Pension Expense</t>
  </si>
  <si>
    <t>Prepaid Taxes-Distribution</t>
  </si>
  <si>
    <t>FAS 158 Liability</t>
  </si>
  <si>
    <t>Energy EIS Services</t>
  </si>
  <si>
    <t>Other - Distribution</t>
  </si>
  <si>
    <t>9280000</t>
  </si>
  <si>
    <t>Regulatory Commission Exp</t>
  </si>
  <si>
    <t>9301000</t>
  </si>
  <si>
    <t>General Advertising Expenses</t>
  </si>
  <si>
    <t>9302000</t>
  </si>
  <si>
    <t>Misc General Expenses</t>
  </si>
  <si>
    <t>9302003</t>
  </si>
  <si>
    <t>Corporate &amp; Fiscal Expenses</t>
  </si>
  <si>
    <t>9302004</t>
  </si>
  <si>
    <t>Research, Develop&amp;Demonstr Exp</t>
  </si>
  <si>
    <t>9302006</t>
  </si>
  <si>
    <t>Assoc Business Development Materials Sold</t>
  </si>
  <si>
    <t>9302007</t>
  </si>
  <si>
    <t>Assoc Business Development Exp</t>
  </si>
  <si>
    <t>West Virginia Corporate Income Tax</t>
  </si>
  <si>
    <t>Apportionment Factor - Note 2</t>
  </si>
  <si>
    <t>Illinois Corporation Income Tax</t>
  </si>
  <si>
    <t>Michigan Business Income Tax</t>
  </si>
  <si>
    <t>Kentucky Business Income Tax</t>
  </si>
  <si>
    <t>Ohio Municipal Net Income Tax</t>
  </si>
  <si>
    <t>OHIO JURISDICTION</t>
  </si>
  <si>
    <t>WEST VA JURISDICTION</t>
  </si>
  <si>
    <t>Real and Personal Property - Ohio</t>
  </si>
  <si>
    <t>Real and Personal Property - Other</t>
  </si>
  <si>
    <t>OPCo Worksheet J -  ATRR PROJECTED Calculation for PJM Projects Charged to Benefiting Zones</t>
  </si>
  <si>
    <t>RTEP ID: b504 (765 kV circuit breaker installations at Hanging Rock)</t>
  </si>
  <si>
    <t>No</t>
  </si>
  <si>
    <r>
      <t xml:space="preserve">## </t>
    </r>
    <r>
      <rPr>
        <b/>
        <sz val="10"/>
        <rFont val="Arial"/>
        <family val="2"/>
      </rPr>
      <t>This is the calculation of  additional incentive revenue on projects deemed by the FERC to be eligible for an incentive return.  This</t>
    </r>
  </si>
  <si>
    <t>RTEP ID: B1231 (Replace the existing 138/69-12 kV transformer at West Moulton Station with a 138/69 kV transformer and a 69/12 kV transformer)</t>
  </si>
  <si>
    <t>RTEP ID: b0570 (Reconductor EAST LIMA-STERLING 138 KV LINE)</t>
  </si>
  <si>
    <t>RTEP ID: b1034.1 (South Canton - West Canton  138kV line (replacing Torrey - West Canton) and Wagenhals – Wayview 138kV )</t>
  </si>
  <si>
    <t>RTEP ID: b1034.6 (138kV circuit breakers at South Canton Station)</t>
  </si>
  <si>
    <t>RTEP ID: b1864.1 (Add two additional 345/138 kV transformers at Kammer)</t>
  </si>
  <si>
    <t>RTEP ID: b2021 (Add 345/138 kV Transformers at Sporn, Kanawha River, and Muskingum River stations)</t>
  </si>
  <si>
    <t>RTEP ID: b2032 (Rebuild 138 kV Elliott Tap-Poston line)</t>
  </si>
  <si>
    <t>RTEP ID: b1034.2 (Loop the existing South Canton - Wayview 138kV circuit in-and-out of West Canton)</t>
  </si>
  <si>
    <t>RTEP ID: b1034.7 (Replace all obsolete 138kV circuit breakers at the Torrey and Wagenhals stations)</t>
  </si>
  <si>
    <t>RTEP ID: b1970 (Reconductor 13 miles of Kammer-West Bellaire 345 kV line)</t>
  </si>
  <si>
    <t>RTEP ID: b2018 (Loop Conesville-Bixby 345 kV circuit into Ohio Central)</t>
  </si>
  <si>
    <t>RTEP ID: b1032.4 (Loop the existing South Canton - Wayview 138kV circuit in-and-out of West Canton)</t>
  </si>
  <si>
    <t>RTEP ID: b1666 (Build an 8 breaker 138 kV station tapping both circuits of the Fostoria-East Lima 138 kV line)</t>
  </si>
  <si>
    <t>RTEP ID: b1957 (Terminate Transformer #2 at SW Lima in new bay position)</t>
  </si>
  <si>
    <t>RTEP ID: b1962 (Add four 765 kV breakers at Kammer)</t>
  </si>
  <si>
    <t>RTEP ID: b2019 (Establish Burger 345/138 kV station)</t>
  </si>
  <si>
    <t>RTEP ID: b2017 (Reconductor or rebuild Sporn - Waterford - Muskingum River 345 kV line)</t>
  </si>
  <si>
    <t>RTEP ID: b1032.3 (Convert Ross - Circleville 69kV to 138kV)</t>
  </si>
  <si>
    <t>RTEP ID: b1032.2 (Two 138kV outlets to Delano and Camp Sherman)</t>
  </si>
  <si>
    <t>RTEP ID: b1818 (Expand Allen w/ 345/138 kV xfmr. and cut in double circuit tower line)</t>
  </si>
  <si>
    <t>RTEP ID: b1870 (Replace the Ohio Central transformer #1 450 MVA for 675 MVA transformer)</t>
  </si>
  <si>
    <t>Capital Structure Equity Limit (Note Z)</t>
  </si>
  <si>
    <t>Capital Structure Percentages</t>
  </si>
  <si>
    <t>Cap Limit</t>
  </si>
  <si>
    <t>Actual</t>
  </si>
  <si>
    <t>Z</t>
  </si>
  <si>
    <t xml:space="preserve">Per the settlement in EL17-13, equity is limited to 55% in of the Company's capital structure.  If the percentage of actual equity exceeds the cap, the excess is included as long term debt in the capital structure.  </t>
  </si>
  <si>
    <t xml:space="preserve">  </t>
  </si>
  <si>
    <t>RTEP ID:  b1962 (Add four 765 kV breakers at Kammer)</t>
  </si>
  <si>
    <t>RTEP:  b1032.3 (Convert Ross-Circleville 69kV to 138 kV)</t>
  </si>
  <si>
    <t>RTEP:  b1032.2 (Two 138kV outlets to Delano and Camp Sherman)</t>
  </si>
  <si>
    <t>RTEP ID: b1818 (Expand Allen w/345/138 kV xfmr. And cut in double circuit tower line)</t>
  </si>
  <si>
    <t xml:space="preserve">Misc Transmission Expense </t>
  </si>
  <si>
    <t>9280001</t>
  </si>
  <si>
    <t>9280002</t>
  </si>
  <si>
    <t>9280005</t>
  </si>
  <si>
    <t>Regulatory Commission Exp-Adm</t>
  </si>
  <si>
    <t>Regulatory Commission Exp-Case</t>
  </si>
  <si>
    <t>Reg Com Exp-FERC Trans Cases</t>
  </si>
  <si>
    <t>9301001</t>
  </si>
  <si>
    <t>9301007</t>
  </si>
  <si>
    <t>9301010</t>
  </si>
  <si>
    <t>9301012</t>
  </si>
  <si>
    <t>9301015</t>
  </si>
  <si>
    <t>Newspaper Advertising Space</t>
  </si>
  <si>
    <t>Special Adv Space &amp; Prod Exp</t>
  </si>
  <si>
    <t>Publicity</t>
  </si>
  <si>
    <t>Public Opinion Surveys</t>
  </si>
  <si>
    <t>Other Corporate Comm Exp</t>
  </si>
  <si>
    <t>Real and Personal Property - WVA</t>
  </si>
  <si>
    <t xml:space="preserve">NON-UTILITY DEFERRED FIT </t>
  </si>
  <si>
    <t>SFAS 109 FLOW-THRU 282.3</t>
  </si>
  <si>
    <t>SFAS 109 EXCESS DFIT 282.4</t>
  </si>
  <si>
    <t>SFAS 109 FLOW-THRU 283.3</t>
  </si>
  <si>
    <t>SFAS 109 EXCESS DFIT 283.4</t>
  </si>
  <si>
    <t>ADIT FED - SFAS 133 NONAFFIL 2830006</t>
  </si>
  <si>
    <t>ADIT FED - HDG-CF-INT RATE 28300015</t>
  </si>
  <si>
    <t>ADIT FED - HDG-CF-FOR EXCHG 28300016</t>
  </si>
  <si>
    <t>SFAS 109 - DEFD STATE INCOME TAXES</t>
  </si>
  <si>
    <t>TAX ALLOC-ITC-10%-46F1</t>
  </si>
  <si>
    <t>SFAS 109 FLOW-THRU 190.3</t>
  </si>
  <si>
    <t>SFAS 109 EXCESS DFIT 190.4</t>
  </si>
  <si>
    <t>SFAS 133 ADIT FED - SFAS NONAFFIL 1900006</t>
  </si>
  <si>
    <t>ADIT FED - PENSION OCI NAF 1900009</t>
  </si>
  <si>
    <t>ADIT FED - HEDGE-CF-FOR EXCHG 1900016</t>
  </si>
  <si>
    <t>DEFERRED SIT  1901002</t>
  </si>
  <si>
    <t>Real and Personal Property - West Virginia</t>
  </si>
  <si>
    <t xml:space="preserve">Real and Personal Property - </t>
  </si>
  <si>
    <t xml:space="preserve"> GENERAL PLANT</t>
  </si>
  <si>
    <t>Transportation Equipment</t>
  </si>
  <si>
    <t>Power Operated Equipment</t>
  </si>
  <si>
    <t>OHIO POWER COMPANY, INC.</t>
  </si>
  <si>
    <t>Worksheet B-3</t>
  </si>
  <si>
    <t>Excess/ Deficient ADIT Worksheet for Total Company and Functional Balances</t>
  </si>
  <si>
    <t>Debit/(Credit)</t>
  </si>
  <si>
    <t xml:space="preserve">I </t>
  </si>
  <si>
    <t xml:space="preserve">J </t>
  </si>
  <si>
    <t>TOTAL COMPANY BALANCES</t>
  </si>
  <si>
    <t>Balance Sheet Entries</t>
  </si>
  <si>
    <t>Tax Expense Entries</t>
  </si>
  <si>
    <t xml:space="preserve">Line No. </t>
  </si>
  <si>
    <t>Description of Account</t>
  </si>
  <si>
    <t>Protected
Unprotected</t>
  </si>
  <si>
    <t>Tax Rate Change Act</t>
  </si>
  <si>
    <t>Amotization Period</t>
  </si>
  <si>
    <t>Balance Sheet Account Reclassifications</t>
  </si>
  <si>
    <t>410/411 Deferred Tax Expense/ (Benefit)</t>
  </si>
  <si>
    <t>Reference</t>
  </si>
  <si>
    <t>Sum of Cols (I) - (O)</t>
  </si>
  <si>
    <t>Deferred Tax Account (NOTE B)</t>
  </si>
  <si>
    <t>1a</t>
  </si>
  <si>
    <r>
      <t>190</t>
    </r>
    <r>
      <rPr>
        <sz val="9"/>
        <color rgb="FFFF0000"/>
        <rFont val="Arial"/>
        <family val="2"/>
      </rPr>
      <t>4</t>
    </r>
    <r>
      <rPr>
        <sz val="9"/>
        <rFont val="Arial"/>
        <family val="2"/>
      </rPr>
      <t>001</t>
    </r>
  </si>
  <si>
    <t xml:space="preserve">ADFIT - FAS 109 Excess </t>
  </si>
  <si>
    <t>TCJA 2017</t>
  </si>
  <si>
    <t>1b</t>
  </si>
  <si>
    <r>
      <t>281</t>
    </r>
    <r>
      <rPr>
        <sz val="9"/>
        <color rgb="FFFF0000"/>
        <rFont val="Arial"/>
        <family val="2"/>
      </rPr>
      <t>1</t>
    </r>
    <r>
      <rPr>
        <sz val="9"/>
        <rFont val="Arial"/>
        <family val="2"/>
      </rPr>
      <t>001</t>
    </r>
  </si>
  <si>
    <t>ADFIT - Accel Amortization Property</t>
  </si>
  <si>
    <t>Protected</t>
  </si>
  <si>
    <t>1c</t>
  </si>
  <si>
    <r>
      <t>281</t>
    </r>
    <r>
      <rPr>
        <sz val="9"/>
        <color rgb="FFFF0000"/>
        <rFont val="Arial"/>
        <family val="2"/>
      </rPr>
      <t>4</t>
    </r>
    <r>
      <rPr>
        <sz val="9"/>
        <rFont val="Arial"/>
        <family val="2"/>
      </rPr>
      <t>001</t>
    </r>
  </si>
  <si>
    <t>ADFIT - Accel Amort FAS 109 Excess</t>
  </si>
  <si>
    <t>1d</t>
  </si>
  <si>
    <r>
      <t>282</t>
    </r>
    <r>
      <rPr>
        <sz val="9"/>
        <color rgb="FFFF0000"/>
        <rFont val="Arial"/>
        <family val="2"/>
      </rPr>
      <t>1</t>
    </r>
    <r>
      <rPr>
        <sz val="9"/>
        <rFont val="Arial"/>
        <family val="2"/>
      </rPr>
      <t>001</t>
    </r>
  </si>
  <si>
    <t>ADFIT - Utility Property</t>
  </si>
  <si>
    <t>ARAM</t>
  </si>
  <si>
    <t>Life of Asset</t>
  </si>
  <si>
    <t>1e</t>
  </si>
  <si>
    <t>Unprotected</t>
  </si>
  <si>
    <t>10 Years</t>
  </si>
  <si>
    <t>1/2018 - 12/2027</t>
  </si>
  <si>
    <t>1f</t>
  </si>
  <si>
    <r>
      <t>282</t>
    </r>
    <r>
      <rPr>
        <sz val="9"/>
        <color rgb="FFFF0000"/>
        <rFont val="Arial"/>
        <family val="2"/>
      </rPr>
      <t>4</t>
    </r>
    <r>
      <rPr>
        <sz val="9"/>
        <rFont val="Arial"/>
        <family val="2"/>
      </rPr>
      <t>001</t>
    </r>
  </si>
  <si>
    <t>ADFIT - Utility Property FAS 109 Excess</t>
  </si>
  <si>
    <t>1g</t>
  </si>
  <si>
    <t>1h</t>
  </si>
  <si>
    <r>
      <t>283</t>
    </r>
    <r>
      <rPr>
        <sz val="9"/>
        <color rgb="FFFF0000"/>
        <rFont val="Arial"/>
        <family val="2"/>
      </rPr>
      <t>1</t>
    </r>
    <r>
      <rPr>
        <sz val="9"/>
        <rFont val="Arial"/>
        <family val="2"/>
      </rPr>
      <t>001</t>
    </r>
  </si>
  <si>
    <t>ADFIT - Other Utility Deferrals</t>
  </si>
  <si>
    <t>1i</t>
  </si>
  <si>
    <r>
      <t>283</t>
    </r>
    <r>
      <rPr>
        <sz val="9"/>
        <color rgb="FFFF0000"/>
        <rFont val="Arial"/>
        <family val="2"/>
      </rPr>
      <t>4</t>
    </r>
    <r>
      <rPr>
        <sz val="9"/>
        <rFont val="Arial"/>
        <family val="2"/>
      </rPr>
      <t>001</t>
    </r>
  </si>
  <si>
    <t>ADFIT - Other FAS 109 Excess</t>
  </si>
  <si>
    <t>1j</t>
  </si>
  <si>
    <t>Regulatory Deferral Accounts</t>
  </si>
  <si>
    <t>2a</t>
  </si>
  <si>
    <t xml:space="preserve">Regulatory Asset  </t>
  </si>
  <si>
    <t xml:space="preserve"> Company Records</t>
  </si>
  <si>
    <t>2b</t>
  </si>
  <si>
    <t>Regulatory Liability</t>
  </si>
  <si>
    <t>2c</t>
  </si>
  <si>
    <t>TRANSMISSION FUNCTION BALANCES</t>
  </si>
  <si>
    <t>4a</t>
  </si>
  <si>
    <t>4b</t>
  </si>
  <si>
    <t>4c</t>
  </si>
  <si>
    <t>4d</t>
  </si>
  <si>
    <t>4e</t>
  </si>
  <si>
    <t>4f</t>
  </si>
  <si>
    <t>4g</t>
  </si>
  <si>
    <t>4h</t>
  </si>
  <si>
    <t>5c</t>
  </si>
  <si>
    <t>NOTE A</t>
  </si>
  <si>
    <t>NOTE B:</t>
  </si>
  <si>
    <t>The amount of the FIT gross up to recorded on regulatory assets and liabilities will be reported on the first line of ADIT accounts provided for each specific change in tax rates.</t>
  </si>
  <si>
    <t>NOTE C:</t>
  </si>
  <si>
    <t>NOTE D:</t>
  </si>
  <si>
    <t>NOTE E:</t>
  </si>
  <si>
    <t>NOTE E</t>
  </si>
  <si>
    <t>Total For Accounting Entires (Sum of Lines 1a through 2b)</t>
  </si>
  <si>
    <t>Total For Accounting Entires (Sum of Lines 4a through 5b)</t>
  </si>
  <si>
    <t>GENERAL NOTE:  ADIT Tax balances provided in the formula presented in Attachment H-14B are maintained on both a total company and transmission functional basis. Because both sets of numbers are presented in the formula, the information for excess and deficient ADIT is also presented for both total company and the transmission function on this worksheet.  Account 281 only applies to the generation function, so is not presented in the transmission functional summary.</t>
  </si>
  <si>
    <t>NOTE F:</t>
  </si>
  <si>
    <t>RTEP ID: b2833 (Reconductor the Maddox Creek - East Lima 345 kV circuit)</t>
  </si>
  <si>
    <t>PAGR Audit</t>
  </si>
  <si>
    <t>Gross Receipts Audit</t>
  </si>
  <si>
    <t>2018 Forecasted Revenue Requirement For Year 2018</t>
  </si>
  <si>
    <t>An over or under collection will be recovered prorata over 2018, held for 2019 and returned prorate over 2020</t>
  </si>
  <si>
    <t>Video Communications</t>
  </si>
  <si>
    <t>9301014</t>
  </si>
  <si>
    <t>WS B - 2 Col B/C, ADIT item 3.12</t>
  </si>
  <si>
    <t>WS B - 1 Cols M+N+O , ADIT Item 5.37</t>
  </si>
  <si>
    <t>WS B - 1 Col C/D, ADIT Item 5.40</t>
  </si>
  <si>
    <t>WS B - 1 Col C, ADIT Item 9.90</t>
  </si>
  <si>
    <t>WS B - 1 Col B/C, ADIT Item 9.93</t>
  </si>
  <si>
    <t>WS B - 1 Col N, ADIT 5.367</t>
  </si>
  <si>
    <t>WS B - 1 Col N, item 9.90</t>
  </si>
  <si>
    <t>MICHIGAN AND FERC</t>
  </si>
  <si>
    <t>$0 at Dec 2018 - use old rate</t>
  </si>
  <si>
    <t>Approved by FERC March 2, 1990 in Docket ER90-132</t>
  </si>
  <si>
    <t>Approved by FERC March 2, 1990 in Docket ER90-133</t>
  </si>
  <si>
    <t xml:space="preserve"> (2)  Approved by PSC of WV Order dated 2/27/2019 in</t>
  </si>
  <si>
    <t xml:space="preserve">        Case No. 18-0645-E-D effective 03/06/2019.</t>
  </si>
  <si>
    <t>Distribution Plant (recorded by state) is assigned only to</t>
  </si>
  <si>
    <t>jurisdictions within each state.</t>
  </si>
  <si>
    <t>53c</t>
  </si>
  <si>
    <t>Accm Prv I/D - Asbestos - Curr</t>
  </si>
  <si>
    <t>Accm Prv I/D - Asbestos</t>
  </si>
  <si>
    <t>2282011</t>
  </si>
  <si>
    <t>2282012</t>
  </si>
  <si>
    <t>EFFECTIVE AS OF MARCH 11, 2020</t>
  </si>
  <si>
    <t>(1) As approved in Indiana Cause No. 45235 effective March 11, 2020.</t>
  </si>
  <si>
    <t>(2) As approved in Michigan Case No. U-20359 effective February 1, 2020.</t>
  </si>
  <si>
    <t>(3) FERC wholesale formula rate agreements specify that the depreciation rates in the formula rates change upon approval of MPSC rates in the Michigan jurisdiction.</t>
  </si>
  <si>
    <t>Accum Deferred SIT-TBBS 190.6002</t>
  </si>
  <si>
    <t>Accum Deferred FIT-TBBS 190.6001</t>
  </si>
  <si>
    <t>SFAS 109 FLOW-THRU 282.6</t>
  </si>
  <si>
    <t>Accum Defd Other FIT-TBBS 283.6001</t>
  </si>
  <si>
    <t>Accum Deferred SIT-TBBS 283.6002</t>
  </si>
  <si>
    <t xml:space="preserve">Long Term Debt cost rate = long-term interest (ln 145) /average long term debt (ln 154). Preferred Stock cost rate = preferred dividends (ln 146) /preferred outstanding (ln 155). </t>
  </si>
  <si>
    <t xml:space="preserve">Common Stock cost rate (ROE) = 10.35%, per the settlement in FERC Docket No. EL17-13. It includes an additional 50 basis points for PJM RTO membership. </t>
  </si>
  <si>
    <t>The amount of eligible hedging gains or losses included in total interest expense is limited to five basis points of the capital structure. Details and calculations of the weighted average cost of capital are shown on Worksheet M. Eligible Hedging Gains and Losses are computed on Worksheet M. The unamortized balance of eligible hedge gains/losses and related ADIT amounts shall not flow through the formula rate.</t>
  </si>
  <si>
    <t>AEP EAST OPERATING COMPANIES</t>
  </si>
  <si>
    <t>Docket ER20-1886-000</t>
  </si>
  <si>
    <t>Compliance Filing</t>
  </si>
  <si>
    <t>ATTACHMENT H-14B</t>
  </si>
  <si>
    <t>Attachment 4</t>
  </si>
  <si>
    <t>WORKSHEET B-3-A</t>
  </si>
  <si>
    <t>Page 5 of 6</t>
  </si>
  <si>
    <t>TAX REMEASUREMENT WORKSHEET</t>
  </si>
  <si>
    <t>TAX CUT and JOBS ACT of  2017</t>
  </si>
  <si>
    <t>F=E/C</t>
  </si>
  <si>
    <t>H = E +G</t>
  </si>
  <si>
    <t>J = C - H</t>
  </si>
  <si>
    <t>Line No.</t>
  </si>
  <si>
    <t xml:space="preserve">Utility Account </t>
  </si>
  <si>
    <t>12/31/17 Pre-remeasurement Balance</t>
  </si>
  <si>
    <t>Remeasurement Amount (NOTE 1)</t>
  </si>
  <si>
    <t>Remeasurement Percentage (NOTE 2)</t>
  </si>
  <si>
    <t>Adjustments (NOTE 3)</t>
  </si>
  <si>
    <t>Total Excess/Deficiency by Account (NOTE 4)</t>
  </si>
  <si>
    <t>Protected / Unprotected</t>
  </si>
  <si>
    <t>ADIT Deferral After Remesasurement</t>
  </si>
  <si>
    <t>TOTAL COMPANY</t>
  </si>
  <si>
    <t>190 - Utility</t>
  </si>
  <si>
    <t>2018 FF1 P. 234 Col (b) Line 8</t>
  </si>
  <si>
    <t xml:space="preserve">Deferred Equity Carrying Charge - Fuel Amortization </t>
  </si>
  <si>
    <t>Less: Deferred State Taxes</t>
  </si>
  <si>
    <t>1901001</t>
  </si>
  <si>
    <t>2811001</t>
  </si>
  <si>
    <t>2018 FF1 P. 272 Col (b) Line 8</t>
  </si>
  <si>
    <t>2821001</t>
  </si>
  <si>
    <t>2018 FF1 P. 274 Col (b) Line 5</t>
  </si>
  <si>
    <t xml:space="preserve">Protected </t>
  </si>
  <si>
    <t xml:space="preserve">Unprotected </t>
  </si>
  <si>
    <t>283 - Utility</t>
  </si>
  <si>
    <t>2018 FF1 P. 276 Col (b) Line 9</t>
  </si>
  <si>
    <t>Less: Accrued Deferred State Tax</t>
  </si>
  <si>
    <t>2831001</t>
  </si>
  <si>
    <t>(Sum of Lns. 3+4+5+8)</t>
  </si>
  <si>
    <t>TRANSMISSION FUNCTION</t>
  </si>
  <si>
    <t>(Sum of Lns. 9+10+11)</t>
  </si>
  <si>
    <t xml:space="preserve">GENERAL NOTE:  This worksheet will summarize remeasurement adjustments in ADIT Accounts for both the total company and transmission function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B-3-A, B-3-B, etc.) </t>
  </si>
  <si>
    <t>NOTE 1:</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</si>
  <si>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</si>
  <si>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</si>
  <si>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 xml:space="preserve">Remeasurement calculation may not equal 40% of the December 31, 2017  deferral balance because of specific ADIT items that are not subject to remeasurement. </t>
  </si>
  <si>
    <t>NOTE 3:</t>
  </si>
  <si>
    <t>As part of the remeasurement calculation, the remeasurement ADIT balances in account 1901001 were reclassed to account 2831001 to group nonproperty utility deferrals together as one timing difference.</t>
  </si>
  <si>
    <t>NOTE 4</t>
  </si>
  <si>
    <t>Ties to each Operating Company's Workpaper B-3, Column F, showing the intial remeasurement value determined as a result of the Tax Cut and Jobs Act of 2017.</t>
  </si>
  <si>
    <t>Utility Account (NOTE A)</t>
  </si>
  <si>
    <t xml:space="preserve">Excess / Deficient Balance at Remeasurement </t>
  </si>
  <si>
    <t>Amortization Methodology (NOTE C)</t>
  </si>
  <si>
    <t>Excess / Deficient ADIT Regulatory  Offset</t>
  </si>
  <si>
    <t>Excess / Deficient ADIT in Utility Deferrals</t>
  </si>
  <si>
    <t xml:space="preserve">410/411 Excess / Deficient Amortization NOTE C/NOTE F
</t>
  </si>
  <si>
    <t>Excess/ Deficient ADIT Regulatory  Offset</t>
  </si>
  <si>
    <t>Excess /  Deficient ADIT in Utility Deferrals</t>
  </si>
  <si>
    <t>NOTE D</t>
  </si>
  <si>
    <t xml:space="preserve">In order to ensure rate base neutrality, AEP utilizes the fourth digit of its seven digit FERC Tax subaccount numbers to identify balances associated with utility operations vs regulatory reporting requirements.  A "1" in the fourth digit of a FERC deferred tax account refers to the utility operations balance or entry.  Accounts with the "1" designation will be included in the determination of rate base to be recovered in the formula rate.   A "4" in the four place of the account number indicates accounts used to track regulatory accounting requirements.  The excess ADIT amounts recorded in accounts with the  "4" designation will be contra to the "1" balance, which will ensure that in the formula rate the excess amount will be part of rate base, but at the total FERC account level the tax asset or liability will be recorded at the current Federal FIT rate.  The amounts recorded in 4 will be offset on a net basis in the regulatory asset or liability account established for this purpose. </t>
  </si>
  <si>
    <t xml:space="preserve">The ten year amortization period for unprotected excess ADIT is consistent with the period agreed upon by the Company and its customers and approved for the Company's PJM formula rates. Appalachian Power Company, et al, 166 FERC ¶ 61,135 (2019). </t>
  </si>
  <si>
    <t>In the event of future tax rate changes, additional lines will be inserted as required to reflect any new ADIT or regulatory deferral accounts that may be necessary to track that tax rate change.</t>
  </si>
  <si>
    <t>The amount of excess amortization entries shown in lines 1a through 1_  are shown as a debit or credit to the ADIT account from which it is being amortized.  The total in line # is the offset as charged to the 410/411 account. This total amount of amortization is then reported in line 24a of the TCOS.</t>
  </si>
  <si>
    <t xml:space="preserve">Deficient remeasurement amounts will be recorded in 410.1 as a debit (expense) to cost of service,, excess remeasurement amounts will be recorded in 411.1 as credit to cost of service. </t>
  </si>
  <si>
    <t>2282003</t>
  </si>
  <si>
    <t>State Publ Serv CommissionFees</t>
  </si>
  <si>
    <t>Rate Case Amort</t>
  </si>
  <si>
    <t>NOL ADJUSTMENT</t>
  </si>
  <si>
    <t>NOL CONTRA</t>
  </si>
  <si>
    <t>Acc Dfd SIT - Other Inc &amp; Ded 283.2002</t>
  </si>
  <si>
    <t>1650041</t>
  </si>
  <si>
    <t>Prepaid Regulatory Fees</t>
  </si>
  <si>
    <t>State Excise Tax</t>
  </si>
  <si>
    <t>Appalachian Power Company</t>
  </si>
  <si>
    <t>Note 1:  Approved by PSC of WV Order dated 2/27/2019 in Case No. 18-0645-E-D effective 03/06/2019.</t>
  </si>
  <si>
    <t>EFFECTIVE AS OF 3/6/2019</t>
  </si>
  <si>
    <t>EFFECTIVE AS OF 12/1/2021</t>
  </si>
  <si>
    <t xml:space="preserve">Note 1:   No change in Transmission plant depreciation rates which were established in </t>
  </si>
  <si>
    <t>OPCo and CSP's FERC Commission Order in Docket No EC11-37-000.</t>
  </si>
  <si>
    <t xml:space="preserve">  (1) As stated in the order in VA Case No. in Case No. PUR-2020-00015, depreciation rates should be implemented at the time depreciation study is preformed.  This is the final update made to depreciation rates as a result of the order issued in PUR-2023-00002.</t>
  </si>
  <si>
    <t xml:space="preserve">Transmission allocation factors are changed annually in January based on </t>
  </si>
  <si>
    <t>September factors as per the PJM tariff approved in FERC Docket ER08-1329</t>
  </si>
  <si>
    <t xml:space="preserve">        Depreciation rates were made effective January 1, 2023.</t>
  </si>
  <si>
    <t xml:space="preserve">(7)  </t>
  </si>
  <si>
    <t>Initial depreciation rates for the jurisdictional shares of CCR/ELG investment at Amos and Mountaineer approved in VA Case No. PUR-2020-00015 and WV Case No. 20-1040-E-CN.</t>
  </si>
  <si>
    <t>EFFECTIVE AS OF 1/1/2023</t>
  </si>
  <si>
    <t>Fairs, Shows, and Exhibits</t>
  </si>
  <si>
    <t>2013 - OH Muni Modification</t>
  </si>
  <si>
    <t>3091 - TAX CREDIT C/F W DEF TAX</t>
  </si>
  <si>
    <t>3094 - CAMT CREDIT C/F W Def Tax</t>
  </si>
  <si>
    <t>3501 - TAX CREDIT C/F - DEF TAX ASSET(OLD)</t>
  </si>
  <si>
    <t>3502 - CAMT CREDIT C/F (OLD)</t>
  </si>
  <si>
    <t>3510 - NOL-STATE C/F-DEF STATE TAX ASSET-L/T</t>
  </si>
  <si>
    <t>3629 - DSIT Ohio Muni Adj</t>
  </si>
  <si>
    <t>4041 - NOL - DEFERRED TAX ASSET RECLASS</t>
  </si>
  <si>
    <t>6002 - PT AFUDC Debt - NORM</t>
  </si>
  <si>
    <t>6004 - PT ARO - NORM</t>
  </si>
  <si>
    <t>6006 - PT Basis Adj - NORM</t>
  </si>
  <si>
    <t>6007 - PT CIAC - NORM</t>
  </si>
  <si>
    <t>6009 - PT COR - NORM</t>
  </si>
  <si>
    <t>6011 - PT CPI - NORM</t>
  </si>
  <si>
    <t>6013 - PT Historical Other - NORM</t>
  </si>
  <si>
    <t>6014 - PT IDD5 - NORM</t>
  </si>
  <si>
    <t>6018 - PT Method/Life - NORM</t>
  </si>
  <si>
    <t>6021 - PT R&amp;D Adjustment - NORM</t>
  </si>
  <si>
    <t>6022 - PT Relocation Cost - NORM</t>
  </si>
  <si>
    <t>6024 - PT Repairs UOP - NORM</t>
  </si>
  <si>
    <t>6026 - PT Software - NORM</t>
  </si>
  <si>
    <t>6503 - 2021 280H 481(a)</t>
  </si>
  <si>
    <t>6523 - 2020 712L 481(a) Software</t>
  </si>
  <si>
    <t>7002 - CUST ADV for Construction</t>
  </si>
  <si>
    <t>7021 - PROVS POSS REV REFDS-A/L</t>
  </si>
  <si>
    <t>7026 - MTM BK GAIN-A/L-TAX DEFL</t>
  </si>
  <si>
    <t>7027 - INSURANCE PREMIUMS ACCRUED</t>
  </si>
  <si>
    <t>7029 - PROV WORKER'S COMP</t>
  </si>
  <si>
    <t>7030 - PROV WORKER'S COMP - FT</t>
  </si>
  <si>
    <t>7032 - ACCRUED BK PENSION EXPENSE</t>
  </si>
  <si>
    <t>7033 - ACCRUED BK PENSION COSTS - SFAS 158</t>
  </si>
  <si>
    <t>7034 - SUPPLEMENTAL EXECUTIVE RETIREMENT PLAN</t>
  </si>
  <si>
    <t>7035 - ACCRD SUP EXEC RETIR PLAN COSTS-SFAS 158</t>
  </si>
  <si>
    <t>7036 - ACCRD BK SUP. SAVINGS PLAN EXP</t>
  </si>
  <si>
    <t>7037 - ACCRUED PSI PLAN EXP</t>
  </si>
  <si>
    <t>7039 - ACCRD LEASED ASSET BK RENT EXP</t>
  </si>
  <si>
    <t>7040 - BK PROV UNCOLL ACCTS - ST</t>
  </si>
  <si>
    <t>7048 - ACCRD COMPANYWIDE INCENTV PLAN</t>
  </si>
  <si>
    <t>7051 - ACCRD ENVIRONMENTAL LIAB-CURRENT</t>
  </si>
  <si>
    <t>7052 - ACCRUED BOOK VACATION PAY</t>
  </si>
  <si>
    <t>7054 - BOOK LEASES DEFERRED</t>
  </si>
  <si>
    <t>7055 - (ICDP)-INCENTIVE COMP DEFERRAL PLAN</t>
  </si>
  <si>
    <t>7057 - ACCRD OH GROWTH FUND-NONCURRENT</t>
  </si>
  <si>
    <t>7058 - ACCRD OH GROWTH FUND-CURRENT</t>
  </si>
  <si>
    <t>7061 - ACCRUED BK SEVERANCE BENEFITS</t>
  </si>
  <si>
    <t>7076 - CCD BILL-DFRD RETIRE BENE-DFL</t>
  </si>
  <si>
    <t>7081 - DEFD EXPS (A/C 186)</t>
  </si>
  <si>
    <t>7083 - Litigation Accrual</t>
  </si>
  <si>
    <t>7085 - DEFD STORM DAMAGE</t>
  </si>
  <si>
    <t>7086 - RATE CASE DEFD CHGS</t>
  </si>
  <si>
    <t>7097 - FICA - NON-CUURENT</t>
  </si>
  <si>
    <t>7098 - TX DFL JT POLE ATT CSTS</t>
  </si>
  <si>
    <t>7100 - DEFD REV - SAN ANGELO SETTLEMENT</t>
  </si>
  <si>
    <t>7104 - ADVANCE RENTAL INC (CUR MO)</t>
  </si>
  <si>
    <t>7108 - DEFD REV-BONUS LEASE SHORT-TERM</t>
  </si>
  <si>
    <t>7109 - DEFD REV-BONUS LEASE LONG-TERM</t>
  </si>
  <si>
    <t>7110 - REG LIAB-UNREAL MTM GAIN-DEFL</t>
  </si>
  <si>
    <t>7120 - REG LIAB-UNUSED SHOPPING INCENTIVES</t>
  </si>
  <si>
    <t>7137 - REG ASSET-SFAS 158 - PENSIONS</t>
  </si>
  <si>
    <t>7138 - REG ASSET-SFAS 158 - SERP</t>
  </si>
  <si>
    <t>7139 - REG ASSET-SFAS 158 - OPEB</t>
  </si>
  <si>
    <t>7154 - REG ASSET-UNDERRECOVERY ESRP COSTS-OH</t>
  </si>
  <si>
    <t>7203 - REG ASSET-UND/REC DIST INVEST RIDER</t>
  </si>
  <si>
    <t>7248 - REG ASSET-PTBAR CARRY CHRGS (DIST DECOUP)-A/L</t>
  </si>
  <si>
    <t>7249 - REG ASSET-PTBAR UNDER REC (DIST DECOUP)</t>
  </si>
  <si>
    <t>7310 - REG ASSET-UNDER RECOVERY-OHIO BTCR</t>
  </si>
  <si>
    <t>7336 - REG ASSET-UND/REC gSMART PHASE 2 O&amp;M</t>
  </si>
  <si>
    <t>7362 - REG ASSET-UNDER RECOVERY OVEC PPA</t>
  </si>
  <si>
    <t>7414 - REG ASSET-UNDER RECOV-EXCESS TAX ETRR</t>
  </si>
  <si>
    <t>7423 - REG ASSET-FERC Formula Rates Under Recvr</t>
  </si>
  <si>
    <t>7495 - REG ASSET-Bad Debt Rider Under-Recovery</t>
  </si>
  <si>
    <t>7566 - AMORT - GOODWILL PER BOOKS</t>
  </si>
  <si>
    <t>7571 - LOSS ON REACQUIRED DEBT</t>
  </si>
  <si>
    <t>7575 - ACCRD SFAS 106 PST RETIRE EXP</t>
  </si>
  <si>
    <t>7577 - ACCRD OPEB COSTS - SFAS 158</t>
  </si>
  <si>
    <t>7580 - ACCRD SFAS 112 PST EMPLOY BEN</t>
  </si>
  <si>
    <t>7581 - ACCRD BOOK ARO EXPENSE - SFAS 143</t>
  </si>
  <si>
    <t>7583 - SFAS 106 - MEDICARE SUBSIDY - (PPACA)-REG ASSET</t>
  </si>
  <si>
    <t>7584 - BOOK OPERATING LEASE - LIAB</t>
  </si>
  <si>
    <t>7585 - BOOK OPERATING LEASE - ASSET</t>
  </si>
  <si>
    <t>7593 - REG ASSET-ACCRUED SFAS 112</t>
  </si>
  <si>
    <t>7602 - OH CIS DEFERRAL</t>
  </si>
  <si>
    <t>8007 - DEFD TAX GAIN - SEC I REG ASSET</t>
  </si>
  <si>
    <t>8016 - STOCK BASED COMP-CAREER SHARES</t>
  </si>
  <si>
    <t>8019 - ACCRD PARTNERSHIP WITH OH-NONCURRENT</t>
  </si>
  <si>
    <t>8053 - SFAS 106 PST RETIRE EXP - NON-DEDUCT CONT</t>
  </si>
  <si>
    <t>8054 - REG ASSET-MEDICARE SUBSIDY-FLOW-THRU-(PPACA)</t>
  </si>
  <si>
    <t>8056 - GROSS RECEIPTS- TAX EXPENSE</t>
  </si>
  <si>
    <t>8060 - IRS AUDIT SETTLEMENT</t>
  </si>
  <si>
    <t>8062 - RESTRICTED STOCK PLAN</t>
  </si>
  <si>
    <t>9023 - State Property Mod - OH MUNI</t>
  </si>
  <si>
    <t>2006 - 282-ACCUM DEFD FEDERAL TBBS ADJ</t>
  </si>
  <si>
    <t>2010 - EXCESS ADFIT 282 - PROTECTED.</t>
  </si>
  <si>
    <t>2011 - EXCESS ADFIT 282 - UNPROTECTED.</t>
  </si>
  <si>
    <t>6028 - EFB Basis Adj - NORM</t>
  </si>
  <si>
    <t>7001 - PJM INTEGRATION-SEC 481(a)-INTANG-DFD LABOR</t>
  </si>
  <si>
    <t>2007 - 283-ACCUM DEFD FEDERAL TBBS ADJ</t>
  </si>
  <si>
    <t>2008 - 283-ACCUM DEFD STATE TBBS ADJ</t>
  </si>
  <si>
    <t>2012 - EXCESS ADFIT 283 - UNPROTECTED.</t>
  </si>
  <si>
    <t>4014 - NOL-STATE C/F-DEF TAX ASSET-L/T - IL</t>
  </si>
  <si>
    <t>4017 - NOL-STATE C/F-DEF TAX ASSET-L/T - KY</t>
  </si>
  <si>
    <t>4021 - NOL-STATE C/F-DEF TAX ASSET-L/T - MI</t>
  </si>
  <si>
    <t>4040 - NOL-STATE C/F-DEF TAX ASSET-L/T - WV</t>
  </si>
  <si>
    <t>7003 - DEFD FUEL EXP-CUR DEFL SET UP</t>
  </si>
  <si>
    <t>7020 - DEF OH AUCTION EXP-INCREM</t>
  </si>
  <si>
    <t>7094 - Accrued COVID-19 Incremental Costs - non-TX</t>
  </si>
  <si>
    <t>7099 - BK DEFL-DEMAND SIDE MNGMT EXP</t>
  </si>
  <si>
    <t>7132 - REG ASSET-CARRY CHGS - OHIO TCR RIDER</t>
  </si>
  <si>
    <t>7231 - REG ASSET-UNREC AER COSTS-OH</t>
  </si>
  <si>
    <t>7235 - REG ASSET-DIST DECOUPLING CARRYING CHARGES</t>
  </si>
  <si>
    <t>8004 - PROPERTY TAX-Book - NORM</t>
  </si>
  <si>
    <t>pg. 263, Ln. 6(i)</t>
  </si>
  <si>
    <t>pg. 263, Ln. 7(i)</t>
  </si>
  <si>
    <t>pg. 263, Ln. 23(i)</t>
  </si>
  <si>
    <t>pg. 263, Ln. 26(i)</t>
  </si>
  <si>
    <t>Energy Storage Materials &amp; Supplies</t>
  </si>
  <si>
    <t>FF1, p. 227, ln 10.1, Col. (c) &amp; (b)</t>
  </si>
  <si>
    <t>Energy Storage</t>
  </si>
  <si>
    <t>Energy Storage ARO</t>
  </si>
  <si>
    <t>(k)</t>
  </si>
  <si>
    <t>(l)</t>
  </si>
  <si>
    <t>FF1, page 207 Col.(g) &amp; pg. 206 Col. (b), ln 84.14</t>
  </si>
  <si>
    <t>FF1, page 207 Col.(g) &amp; pg. 206 Col. (b), ln 84.13</t>
  </si>
  <si>
    <t>FF1, page 219, ln 27.1, Col. (b)</t>
  </si>
  <si>
    <t>Excluded Energy Storage Plant  - Plant In Service</t>
  </si>
  <si>
    <t>Excluded Energy Storage Plant  - Accumulated Depreciation</t>
  </si>
  <si>
    <t>87a</t>
  </si>
  <si>
    <t xml:space="preserve">  Energy Storage</t>
  </si>
  <si>
    <t>322.131.16.b</t>
  </si>
  <si>
    <t>ES</t>
  </si>
  <si>
    <t>135a</t>
  </si>
  <si>
    <t>ENERGY STORAGE PLANT INCLUDED IN PJM TARIFF</t>
  </si>
  <si>
    <t>135b</t>
  </si>
  <si>
    <r>
      <t xml:space="preserve">   </t>
    </r>
    <r>
      <rPr>
        <sz val="12"/>
        <rFont val="Arial"/>
        <family val="2"/>
      </rPr>
      <t xml:space="preserve">Total Energy Storage Plant </t>
    </r>
  </si>
  <si>
    <t>(page 2, line 27a, column 3)</t>
  </si>
  <si>
    <t>135c</t>
  </si>
  <si>
    <r>
      <t xml:space="preserve">   </t>
    </r>
    <r>
      <rPr>
        <sz val="12"/>
        <rFont val="Arial"/>
        <family val="2"/>
      </rPr>
      <t>Less Energy Storage Plant excuded from PJM Tariff (Note</t>
    </r>
    <r>
      <rPr>
        <b/>
        <sz val="12"/>
        <rFont val="Arial"/>
        <family val="2"/>
      </rPr>
      <t xml:space="preserve"> AA)</t>
    </r>
  </si>
  <si>
    <t>(Worksheet A ln 42.(f))</t>
  </si>
  <si>
    <t>135d</t>
  </si>
  <si>
    <r>
      <t xml:space="preserve">   </t>
    </r>
    <r>
      <rPr>
        <sz val="12"/>
        <rFont val="Arial"/>
        <family val="2"/>
      </rPr>
      <t>Energy Storage plant included in PJM Tariff</t>
    </r>
  </si>
  <si>
    <t>(line 135b less line 135c)</t>
  </si>
  <si>
    <t>135e</t>
  </si>
  <si>
    <t>Percentage of Energy Storage plant included in PJM Tariff</t>
  </si>
  <si>
    <t>(line 135d divided by line 135b)</t>
  </si>
  <si>
    <t>ES=</t>
  </si>
  <si>
    <t>139a</t>
  </si>
  <si>
    <t>354.22.1.b</t>
  </si>
  <si>
    <t>AA</t>
  </si>
  <si>
    <t>Removes energy storage plant not recovered in transmission rates as demonstrated on supporting workpaper or footnote to the Form 1, if applicable.</t>
  </si>
  <si>
    <t>BB</t>
  </si>
  <si>
    <t>Identified in Form 1 as being only energy storage related. The amount reported on Form 1 page 227, line 10.1 is entirely transmission-related unless specified in a footnote to the Form 1.</t>
  </si>
  <si>
    <t>27a</t>
  </si>
  <si>
    <t>27b</t>
  </si>
  <si>
    <t xml:space="preserve">  Less: Energy Storage ARO (Enter Negative) </t>
  </si>
  <si>
    <t>38a</t>
  </si>
  <si>
    <t>38b</t>
  </si>
  <si>
    <t>45a</t>
  </si>
  <si>
    <t>59a</t>
  </si>
  <si>
    <t xml:space="preserve">  Energy Storage Materials &amp; Supplies (Note BB)</t>
  </si>
  <si>
    <t>(Worksheet C, ln 2a.(F))</t>
  </si>
  <si>
    <t>102a</t>
  </si>
  <si>
    <t>336.9.1b</t>
  </si>
  <si>
    <t>1/1/2025 Beginning  Balances</t>
  </si>
  <si>
    <t>12/31/2025 Ending Balance</t>
  </si>
  <si>
    <t>For Year Ended December 31, 2025</t>
  </si>
  <si>
    <t>Acc Dfrd SIT FAS 109 Flow Thru</t>
  </si>
  <si>
    <t>Accum Deferred SIT - Excess</t>
  </si>
  <si>
    <t>Accum Deferred SIT - Excess 190.4002</t>
  </si>
  <si>
    <t>2016 - DEFICIENT ADFIT 190 - UNPROTECTED</t>
  </si>
  <si>
    <t>7633 - FRINGE BENEFIT LOADING - PENSION</t>
  </si>
  <si>
    <t>7634 - FRINGE BENEFIT LOADING - OPEB</t>
  </si>
  <si>
    <t>7652 - LSE Formula Rate Deferral</t>
  </si>
  <si>
    <t>7140 - Other Regulatory Assets</t>
  </si>
  <si>
    <t>ADFIT - FAS 109 Excess</t>
  </si>
  <si>
    <t>1904001</t>
  </si>
  <si>
    <t>1904002</t>
  </si>
  <si>
    <t>ADSIT - FAS 109 Excess (State Gross Up)</t>
  </si>
  <si>
    <t>Mix</t>
  </si>
  <si>
    <t>WVHB2026</t>
  </si>
  <si>
    <t>2834001</t>
  </si>
  <si>
    <t>ADFIT - FAS 109 Excess (Fed Gross Up)</t>
  </si>
  <si>
    <t>2834002</t>
  </si>
  <si>
    <t>1k</t>
  </si>
  <si>
    <t>1l</t>
  </si>
  <si>
    <t>1m</t>
  </si>
  <si>
    <t>1n</t>
  </si>
  <si>
    <t>1o</t>
  </si>
  <si>
    <r>
      <t>190</t>
    </r>
    <r>
      <rPr>
        <sz val="10"/>
        <color rgb="FFFF0000"/>
        <rFont val="Arial"/>
        <family val="2"/>
      </rPr>
      <t>1</t>
    </r>
    <r>
      <rPr>
        <sz val="10"/>
        <rFont val="Arial"/>
        <family val="2"/>
      </rPr>
      <t>001</t>
    </r>
  </si>
  <si>
    <r>
      <t>190</t>
    </r>
    <r>
      <rPr>
        <sz val="9"/>
        <color rgb="FFFF0000"/>
        <rFont val="Arial"/>
        <family val="2"/>
      </rPr>
      <t>4</t>
    </r>
    <r>
      <rPr>
        <sz val="9"/>
        <rFont val="Arial"/>
        <family val="2"/>
      </rPr>
      <t>002</t>
    </r>
  </si>
  <si>
    <r>
      <t>283</t>
    </r>
    <r>
      <rPr>
        <sz val="7.65"/>
        <color rgb="FFFF0000"/>
        <rFont val="Arial"/>
        <family val="2"/>
      </rPr>
      <t>4</t>
    </r>
    <r>
      <rPr>
        <sz val="9"/>
        <rFont val="Arial"/>
        <family val="2"/>
      </rPr>
      <t>001</t>
    </r>
  </si>
  <si>
    <r>
      <t>283</t>
    </r>
    <r>
      <rPr>
        <sz val="7.65"/>
        <color rgb="FFFF0000"/>
        <rFont val="Arial"/>
        <family val="2"/>
      </rPr>
      <t>4</t>
    </r>
    <r>
      <rPr>
        <sz val="9"/>
        <rFont val="Arial"/>
        <family val="2"/>
      </rPr>
      <t>002</t>
    </r>
  </si>
  <si>
    <t>4i</t>
  </si>
  <si>
    <t>4j</t>
  </si>
  <si>
    <t>4k</t>
  </si>
  <si>
    <t>4l</t>
  </si>
  <si>
    <t>4m</t>
  </si>
  <si>
    <t>pg. 263, Ln. 28(i)</t>
  </si>
  <si>
    <t>pg. 263, Ln. 24(i)</t>
  </si>
  <si>
    <t>pg. 263, Ln. 5(i)</t>
  </si>
  <si>
    <t>Regulatory Liability - State Excess ADFIT</t>
  </si>
  <si>
    <t>2d</t>
  </si>
  <si>
    <t>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</si>
</sst>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5">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quot;$&quot;#,##0.000000000000"/>
    <numFmt numFmtId="176" formatCode="0.0000%"/>
    <numFmt numFmtId="177" formatCode="_(* #,##0.0_);_(* \(#,##0.0\);_(* &quot;-&quot;??_);_(@_)"/>
    <numFmt numFmtId="178" formatCode="0.000000"/>
    <numFmt numFmtId="179" formatCode="_(* #,##0.0000_);_(* \(#,##0.0000\);_(* &quot;-&quot;_);_(@_)"/>
    <numFmt numFmtId="180" formatCode="_(* #,##0.00000_);_(* \(#,##0.00000\);_(* &quot;-&quot;_);_(@_)"/>
    <numFmt numFmtId="181" formatCode="_(* #,##0.0000000000_);_(* \(#,##0.0000000000\);_(* &quot;-&quot;_);_(@_)"/>
    <numFmt numFmtId="182" formatCode="_(* #,##0.00000_);_(* \(#,##0.00000\);_(* &quot;-&quot;??_);_(@_)"/>
    <numFmt numFmtId="183" formatCode="#,##0.0000000"/>
    <numFmt numFmtId="184" formatCode="_(* #,##0.0000000_);_(* \(#,##0.0000000\);_(* &quot;-&quot;_);_(@_)"/>
    <numFmt numFmtId="185" formatCode="#,##0\ ;\(#,##0\)"/>
    <numFmt numFmtId="186" formatCode="_(* #,##0.0000_);_(* \(#,##0.0000\);_(* &quot;-&quot;??_);_(@_)"/>
    <numFmt numFmtId="187" formatCode="0.0%"/>
    <numFmt numFmtId="188" formatCode="_(* #,##0.000_);_(* \(#,##0.000\);_(* &quot;-&quot;_);_(@_)"/>
    <numFmt numFmtId="189" formatCode="#,##0.000000"/>
    <numFmt numFmtId="190" formatCode="mmmm\ d\,\ yyyy"/>
    <numFmt numFmtId="191" formatCode="m/d/yy;@"/>
    <numFmt numFmtId="192" formatCode="0.000"/>
    <numFmt numFmtId="193" formatCode="0.000000_)"/>
    <numFmt numFmtId="194" formatCode="#,##0.000000_);\(#,##0.000000\)"/>
    <numFmt numFmtId="195" formatCode="0_);\(0\)"/>
    <numFmt numFmtId="196" formatCode="0.0"/>
    <numFmt numFmtId="197" formatCode="&quot;$&quot;#,##0.0000"/>
    <numFmt numFmtId="198" formatCode="[$-409]mmm\-yy;@"/>
    <numFmt numFmtId="199" formatCode="#,##0_);[Red]\(#,##0\);&quot; &quot;"/>
    <numFmt numFmtId="200" formatCode="_(* #,##0.00_);_(* \(#,##0.00\);_(* &quot;-&quot;_);_(@_)"/>
    <numFmt numFmtId="201" formatCode="_(* #,##0.000_);_(* \(#,##0.000\);_(* &quot;-&quot;??_);_(@_)"/>
    <numFmt numFmtId="202" formatCode="mm/dd/yy_)"/>
  </numFmts>
  <fonts count="17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color indexed="10"/>
      <name val="Arial"/>
      <family val="2"/>
    </font>
    <font>
      <sz val="10"/>
      <color indexed="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10"/>
      <color indexed="12"/>
      <name val="Arial"/>
      <family val="2"/>
    </font>
    <font>
      <b/>
      <sz val="12"/>
      <color indexed="12"/>
      <name val="Arial"/>
      <family val="2"/>
    </font>
    <font>
      <sz val="10"/>
      <color indexed="10"/>
      <name val="Arial"/>
      <family val="2"/>
    </font>
    <font>
      <sz val="12"/>
      <color indexed="10"/>
      <name val="Arial"/>
      <family val="2"/>
    </font>
    <font>
      <sz val="9"/>
      <name val="Arial"/>
      <family val="2"/>
    </font>
    <font>
      <b/>
      <sz val="9"/>
      <name val="Arial"/>
      <family val="2"/>
    </font>
    <font>
      <sz val="12"/>
      <name val="Arial"/>
      <family val="2"/>
    </font>
    <font>
      <sz val="12"/>
      <color indexed="12"/>
      <name val="Arial"/>
      <family val="2"/>
    </font>
    <font>
      <i/>
      <sz val="12"/>
      <name val="Arial"/>
      <family val="2"/>
    </font>
    <font>
      <b/>
      <sz val="12"/>
      <color indexed="10"/>
      <name val="Helv"/>
    </font>
    <font>
      <b/>
      <sz val="12"/>
      <color indexed="10"/>
      <name val="Arial Narrow"/>
      <family val="2"/>
    </font>
    <font>
      <b/>
      <sz val="18"/>
      <name val="Arial"/>
      <family val="2"/>
    </font>
    <font>
      <sz val="10"/>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b/>
      <sz val="10"/>
      <color indexed="8"/>
      <name val="Arial"/>
      <family val="2"/>
    </font>
    <font>
      <b/>
      <sz val="10"/>
      <color indexed="12"/>
      <name val="Arial"/>
      <family val="2"/>
    </font>
    <font>
      <sz val="10"/>
      <name val="Helv"/>
    </font>
    <font>
      <sz val="14"/>
      <name val="Helv"/>
    </font>
    <font>
      <sz val="14"/>
      <color indexed="12"/>
      <name val="Arial"/>
      <family val="2"/>
    </font>
    <font>
      <b/>
      <u/>
      <sz val="14"/>
      <name val="Helv"/>
    </font>
    <font>
      <b/>
      <sz val="14"/>
      <name val="Helv"/>
    </font>
    <font>
      <sz val="14"/>
      <name val="Arial"/>
      <family val="2"/>
    </font>
    <font>
      <b/>
      <sz val="12"/>
      <name val="Arial MT"/>
    </font>
    <font>
      <sz val="14"/>
      <color indexed="12"/>
      <name val="Helv"/>
    </font>
    <font>
      <b/>
      <sz val="10"/>
      <color indexed="10"/>
      <name val="Arial Narrow"/>
      <family val="2"/>
    </font>
    <font>
      <b/>
      <u/>
      <sz val="14"/>
      <name val="Arial"/>
      <family val="2"/>
    </font>
    <font>
      <u/>
      <sz val="12"/>
      <name val="Arial MT"/>
    </font>
    <font>
      <u/>
      <sz val="12"/>
      <name val="Times New Roman"/>
      <family val="1"/>
    </font>
    <font>
      <sz val="10"/>
      <color indexed="12"/>
      <name val="Times New Roman"/>
      <family val="1"/>
    </font>
    <font>
      <u val="singleAccounting"/>
      <sz val="10"/>
      <name val="Arial"/>
      <family val="2"/>
    </font>
    <font>
      <strike/>
      <sz val="12"/>
      <color indexed="10"/>
      <name val="Arial"/>
      <family val="2"/>
    </font>
    <font>
      <sz val="12"/>
      <color indexed="10"/>
      <name val="Arial MT"/>
    </font>
    <font>
      <b/>
      <strike/>
      <u/>
      <sz val="10"/>
      <color indexed="10"/>
      <name val="Arial"/>
      <family val="2"/>
    </font>
    <font>
      <strike/>
      <u/>
      <sz val="10"/>
      <color indexed="10"/>
      <name val="Arial"/>
      <family val="2"/>
    </font>
    <font>
      <sz val="8"/>
      <name val="Arial"/>
      <family val="2"/>
    </font>
    <font>
      <b/>
      <i/>
      <u/>
      <sz val="10"/>
      <name val="Arial"/>
      <family val="2"/>
    </font>
    <font>
      <strike/>
      <sz val="14"/>
      <color indexed="10"/>
      <name val="Helv"/>
    </font>
    <font>
      <b/>
      <i/>
      <u/>
      <sz val="12"/>
      <name val="Arial"/>
      <family val="2"/>
    </font>
    <font>
      <b/>
      <sz val="10"/>
      <name val="Times New Roman"/>
      <family val="1"/>
    </font>
    <font>
      <b/>
      <sz val="12"/>
      <name val="Times New Roman"/>
      <family val="1"/>
    </font>
    <font>
      <strike/>
      <sz val="12"/>
      <name val="Arial"/>
      <family val="2"/>
    </font>
    <font>
      <b/>
      <sz val="10"/>
      <name val="Arial"/>
      <family val="2"/>
    </font>
    <font>
      <b/>
      <u val="singleAccounting"/>
      <sz val="10"/>
      <name val="Arial"/>
      <family val="2"/>
    </font>
    <font>
      <b/>
      <strike/>
      <sz val="10"/>
      <name val="Arial"/>
      <family val="2"/>
    </font>
    <font>
      <b/>
      <sz val="10"/>
      <name val="Arial Narrow"/>
      <family val="2"/>
    </font>
    <font>
      <b/>
      <strike/>
      <u/>
      <sz val="10"/>
      <name val="Arial"/>
      <family val="2"/>
    </font>
    <font>
      <sz val="10"/>
      <color indexed="8"/>
      <name val="Helv"/>
    </font>
    <font>
      <sz val="13"/>
      <name val="Times New Roman"/>
      <family val="1"/>
    </font>
    <font>
      <sz val="10"/>
      <name val="Arial"/>
      <family val="2"/>
    </font>
    <font>
      <sz val="10"/>
      <name val="Arial MT"/>
    </font>
    <font>
      <u/>
      <sz val="11"/>
      <name val="Arial"/>
      <family val="2"/>
    </font>
    <font>
      <sz val="12"/>
      <name val="Arial Black"/>
      <family val="2"/>
    </font>
    <font>
      <sz val="10"/>
      <color indexed="12"/>
      <name val="Courier"/>
      <family val="3"/>
    </font>
    <font>
      <i/>
      <sz val="12"/>
      <name val="Arial Condensed Bold"/>
    </font>
    <font>
      <i/>
      <sz val="12"/>
      <color indexed="12"/>
      <name val="Arial Condensed Bold"/>
    </font>
    <font>
      <b/>
      <i/>
      <sz val="12"/>
      <color indexed="12"/>
      <name val="Arial MT"/>
    </font>
    <font>
      <b/>
      <i/>
      <sz val="12"/>
      <name val="Arial MT"/>
    </font>
    <font>
      <b/>
      <sz val="10"/>
      <color indexed="17"/>
      <name val="Courier"/>
      <family val="3"/>
    </font>
    <font>
      <b/>
      <sz val="12"/>
      <color indexed="17"/>
      <name val="Arial MT"/>
    </font>
    <font>
      <b/>
      <u/>
      <sz val="12"/>
      <name val="Arial MT"/>
    </font>
    <font>
      <sz val="12"/>
      <name val="Arial"/>
      <family val="2"/>
    </font>
    <font>
      <sz val="16"/>
      <name val="Arial"/>
      <family val="2"/>
    </font>
    <font>
      <sz val="12"/>
      <name val="Arial"/>
      <family val="2"/>
    </font>
    <font>
      <sz val="10"/>
      <name val="Arial"/>
      <family val="2"/>
    </font>
    <font>
      <sz val="12"/>
      <name val="Arial Narrow"/>
      <family val="2"/>
    </font>
    <font>
      <b/>
      <sz val="12"/>
      <name val="Arial Narrow"/>
      <family val="2"/>
    </font>
    <font>
      <b/>
      <u/>
      <sz val="12"/>
      <name val="Arial Narrow"/>
      <family val="2"/>
    </font>
    <font>
      <sz val="10"/>
      <color indexed="9"/>
      <name val="Arial"/>
      <family val="2"/>
    </font>
    <font>
      <sz val="11"/>
      <color indexed="12"/>
      <name val="Arial"/>
      <family val="2"/>
    </font>
    <font>
      <sz val="10"/>
      <name val="Arial"/>
      <family val="2"/>
    </font>
    <font>
      <sz val="10"/>
      <name val="Arial"/>
      <family val="2"/>
    </font>
    <font>
      <sz val="10"/>
      <name val="Arial"/>
      <family val="2"/>
    </font>
    <font>
      <b/>
      <i/>
      <sz val="12"/>
      <name val="Times New Roman"/>
      <family val="1"/>
    </font>
    <font>
      <sz val="10"/>
      <color indexed="40"/>
      <name val="Arial"/>
      <family val="2"/>
    </font>
    <font>
      <sz val="10"/>
      <color indexed="40"/>
      <name val="Times New Roman"/>
      <family val="1"/>
    </font>
    <font>
      <sz val="10"/>
      <name val="Arial"/>
      <family val="2"/>
    </font>
    <font>
      <strike/>
      <sz val="10"/>
      <name val="Cambria"/>
      <family val="1"/>
    </font>
    <font>
      <b/>
      <strike/>
      <sz val="12"/>
      <color indexed="10"/>
      <name val="Arial"/>
      <family val="2"/>
    </font>
    <font>
      <sz val="10"/>
      <name val="Arial"/>
      <family val="2"/>
    </font>
    <font>
      <sz val="14"/>
      <name val="Cambria"/>
      <family val="1"/>
    </font>
    <font>
      <sz val="12"/>
      <name val="Cambria"/>
      <family val="1"/>
    </font>
    <font>
      <b/>
      <sz val="12"/>
      <name val="Arial Black"/>
      <family val="2"/>
    </font>
    <font>
      <b/>
      <sz val="12"/>
      <name val="Arial Condensed Bold"/>
    </font>
    <font>
      <sz val="10"/>
      <name val="Arial"/>
      <family val="2"/>
    </font>
    <font>
      <b/>
      <i/>
      <sz val="12"/>
      <name val="Cambria"/>
      <family val="1"/>
    </font>
    <font>
      <sz val="10"/>
      <name val="Cambria"/>
      <family val="1"/>
    </font>
    <font>
      <sz val="12"/>
      <color indexed="10"/>
      <name val="Cambria"/>
      <family val="1"/>
    </font>
    <font>
      <b/>
      <sz val="10"/>
      <name val="Cambria"/>
      <family val="1"/>
    </font>
    <font>
      <sz val="10"/>
      <color indexed="10"/>
      <name val="Cambria"/>
      <family val="1"/>
    </font>
    <font>
      <u/>
      <sz val="10"/>
      <name val="Cambria"/>
      <family val="1"/>
    </font>
    <font>
      <u/>
      <sz val="10"/>
      <color indexed="10"/>
      <name val="Cambria"/>
      <family val="1"/>
    </font>
    <font>
      <u/>
      <sz val="10"/>
      <color indexed="8"/>
      <name val="Cambria"/>
      <family val="1"/>
    </font>
    <font>
      <sz val="10"/>
      <color indexed="12"/>
      <name val="Cambria"/>
      <family val="1"/>
    </font>
    <font>
      <b/>
      <u/>
      <sz val="10"/>
      <name val="Cambria"/>
      <family val="1"/>
    </font>
    <font>
      <sz val="14"/>
      <color indexed="9"/>
      <name val="Arial"/>
      <family val="2"/>
    </font>
    <font>
      <sz val="10"/>
      <name val="Arial"/>
      <family val="2"/>
    </font>
    <font>
      <b/>
      <u/>
      <sz val="11"/>
      <name val="Arial"/>
      <family val="2"/>
    </font>
    <font>
      <sz val="10"/>
      <name val="Arial"/>
      <family val="2"/>
    </font>
    <font>
      <sz val="12"/>
      <color indexed="8"/>
      <name val="Arial"/>
      <family val="2"/>
    </font>
    <font>
      <sz val="12"/>
      <color indexed="23"/>
      <name val="Arial"/>
      <family val="2"/>
    </font>
    <font>
      <sz val="12"/>
      <color indexed="9"/>
      <name val="Arial"/>
      <family val="2"/>
    </font>
    <font>
      <sz val="11"/>
      <color theme="1"/>
      <name val="Calibri"/>
      <family val="2"/>
      <scheme val="minor"/>
    </font>
    <font>
      <sz val="11"/>
      <color theme="1"/>
      <name val="Calibri"/>
      <family val="2"/>
    </font>
    <font>
      <sz val="10"/>
      <color rgb="FF0000FF"/>
      <name val="Arial"/>
      <family val="2"/>
    </font>
    <font>
      <sz val="8"/>
      <color theme="1"/>
      <name val="Calibri"/>
      <family val="2"/>
      <scheme val="minor"/>
    </font>
    <font>
      <sz val="10"/>
      <color rgb="FFFF0000"/>
      <name val="Arial"/>
      <family val="2"/>
    </font>
    <font>
      <strike/>
      <sz val="12"/>
      <color rgb="FFFF0000"/>
      <name val="Cambria"/>
      <family val="1"/>
    </font>
    <font>
      <sz val="12"/>
      <color rgb="FFFF0000"/>
      <name val="Arial"/>
      <family val="2"/>
    </font>
    <font>
      <b/>
      <sz val="10"/>
      <color rgb="FFFF0000"/>
      <name val="Arial"/>
      <family val="2"/>
    </font>
    <font>
      <sz val="14"/>
      <color rgb="FFFF0000"/>
      <name val="Arial"/>
      <family val="2"/>
    </font>
    <font>
      <b/>
      <sz val="14"/>
      <color rgb="FFFF0000"/>
      <name val="Arial"/>
      <family val="2"/>
    </font>
    <font>
      <b/>
      <sz val="10"/>
      <color rgb="FF0000FF"/>
      <name val="Arial"/>
      <family val="2"/>
    </font>
    <font>
      <strike/>
      <sz val="12"/>
      <color rgb="FFFF0000"/>
      <name val="Arial"/>
      <family val="2"/>
    </font>
    <font>
      <sz val="12"/>
      <name val="Arial MT"/>
      <family val="2"/>
    </font>
    <font>
      <sz val="9"/>
      <color rgb="FFFF0000"/>
      <name val="Arial"/>
      <family val="2"/>
    </font>
    <font>
      <sz val="9"/>
      <name val="Arial MT"/>
      <family val="2"/>
    </font>
    <font>
      <sz val="10"/>
      <color theme="1"/>
      <name val="Arial"/>
      <family val="2"/>
    </font>
    <font>
      <sz val="11"/>
      <color indexed="8"/>
      <name val="Calibri"/>
      <family val="2"/>
    </font>
    <font>
      <i/>
      <sz val="12"/>
      <name val="Arial MT"/>
    </font>
    <font>
      <b/>
      <sz val="9"/>
      <name val="Calibri Light"/>
      <family val="2"/>
    </font>
    <font>
      <sz val="7.65"/>
      <color rgb="FFFF0000"/>
      <name val="Arial"/>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7"/>
        <bgColor indexed="64"/>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
      <patternFill patternType="solid">
        <fgColor theme="0" tint="-0.24991607409894101"/>
        <bgColor indexed="64"/>
      </patternFill>
    </fill>
    <fill>
      <patternFill patternType="darkUp">
        <bgColor theme="0" tint="-0.14990691854609822"/>
      </patternFill>
    </fill>
    <fill>
      <patternFill patternType="solid">
        <fgColor rgb="FFFFC000"/>
        <bgColor indexed="64"/>
      </patternFill>
    </fill>
    <fill>
      <patternFill patternType="darkUp">
        <bgColor theme="0"/>
      </patternFill>
    </fill>
  </fills>
  <borders count="79">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top style="medium">
        <color indexed="8"/>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bottom style="medium">
        <color indexed="8"/>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8"/>
      </top>
      <bottom/>
      <diagonal/>
    </border>
    <border>
      <left/>
      <right/>
      <top style="double">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uble">
        <color auto="1"/>
      </bottom>
      <diagonal/>
    </border>
    <border>
      <left/>
      <right/>
      <top style="double">
        <color auto="1"/>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style="thin">
        <color auto="1"/>
      </top>
      <bottom style="thin">
        <color auto="1"/>
      </bottom>
      <diagonal/>
    </border>
    <border>
      <left/>
      <right/>
      <top style="thin">
        <color auto="1"/>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659">
    <xf numFmtId="0" fontId="0" fillId="0" borderId="0"/>
    <xf numFmtId="0" fontId="39" fillId="2" borderId="0" applyNumberFormat="0" applyBorder="0" applyAlignment="0" applyProtection="0"/>
    <xf numFmtId="0" fontId="39" fillId="2"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8"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9" borderId="0" applyNumberFormat="0" applyBorder="0" applyAlignment="0" applyProtection="0"/>
    <xf numFmtId="0" fontId="40" fillId="19"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172" fontId="42" fillId="0" borderId="0" applyFill="0"/>
    <xf numFmtId="172" fontId="42" fillId="0" borderId="0">
      <alignment horizontal="center"/>
    </xf>
    <xf numFmtId="0" fontId="42" fillId="0" borderId="0" applyFill="0">
      <alignment horizontal="center"/>
    </xf>
    <xf numFmtId="172" fontId="8" fillId="0" borderId="1" applyFill="0"/>
    <xf numFmtId="0" fontId="16" fillId="0" borderId="0" applyFont="0" applyAlignment="0"/>
    <xf numFmtId="0" fontId="43" fillId="0" borderId="0" applyFill="0">
      <alignment vertical="top"/>
    </xf>
    <xf numFmtId="0" fontId="8" fillId="0" borderId="0" applyFill="0">
      <alignment horizontal="left" vertical="top"/>
    </xf>
    <xf numFmtId="172" fontId="10" fillId="0" borderId="2" applyFill="0"/>
    <xf numFmtId="0" fontId="16" fillId="0" borderId="0" applyNumberFormat="0" applyFont="0" applyAlignment="0"/>
    <xf numFmtId="0" fontId="43" fillId="0" borderId="0" applyFill="0">
      <alignment wrapText="1"/>
    </xf>
    <xf numFmtId="0" fontId="8" fillId="0" borderId="0" applyFill="0">
      <alignment horizontal="left" vertical="top" wrapText="1"/>
    </xf>
    <xf numFmtId="172" fontId="44" fillId="0" borderId="0" applyFill="0"/>
    <xf numFmtId="0" fontId="45" fillId="0" borderId="0" applyNumberFormat="0" applyFont="0" applyAlignment="0">
      <alignment horizontal="center"/>
    </xf>
    <xf numFmtId="0" fontId="46" fillId="0" borderId="0" applyFill="0">
      <alignment vertical="top" wrapText="1"/>
    </xf>
    <xf numFmtId="0" fontId="10" fillId="0" borderId="0" applyFill="0">
      <alignment horizontal="left" vertical="top" wrapText="1"/>
    </xf>
    <xf numFmtId="172" fontId="16" fillId="0" borderId="0" applyFill="0"/>
    <xf numFmtId="0" fontId="45" fillId="0" borderId="0" applyNumberFormat="0" applyFont="0" applyAlignment="0">
      <alignment horizontal="center"/>
    </xf>
    <xf numFmtId="0" fontId="32" fillId="0" borderId="0" applyFill="0">
      <alignment vertical="center" wrapText="1"/>
    </xf>
    <xf numFmtId="0" fontId="9" fillId="0" borderId="0">
      <alignment horizontal="left" vertical="center" wrapText="1"/>
    </xf>
    <xf numFmtId="172" fontId="28" fillId="0" borderId="0" applyFill="0"/>
    <xf numFmtId="0" fontId="45" fillId="0" borderId="0" applyNumberFormat="0" applyFont="0" applyAlignment="0">
      <alignment horizontal="center"/>
    </xf>
    <xf numFmtId="0" fontId="20" fillId="0" borderId="0" applyFill="0">
      <alignment horizontal="center" vertical="center" wrapText="1"/>
    </xf>
    <xf numFmtId="0" fontId="16" fillId="0" borderId="0" applyFill="0">
      <alignment horizontal="center" vertical="center" wrapText="1"/>
    </xf>
    <xf numFmtId="172" fontId="47" fillId="0" borderId="0" applyFill="0"/>
    <xf numFmtId="0" fontId="45" fillId="0" borderId="0" applyNumberFormat="0" applyFont="0" applyAlignment="0">
      <alignment horizontal="center"/>
    </xf>
    <xf numFmtId="0" fontId="48" fillId="0" borderId="0" applyFill="0">
      <alignment horizontal="center" vertical="center" wrapText="1"/>
    </xf>
    <xf numFmtId="0" fontId="49" fillId="0" borderId="0" applyFill="0">
      <alignment horizontal="center" vertical="center" wrapText="1"/>
    </xf>
    <xf numFmtId="172" fontId="50" fillId="0" borderId="0" applyFill="0"/>
    <xf numFmtId="0" fontId="45" fillId="0" borderId="0" applyNumberFormat="0" applyFont="0" applyAlignment="0">
      <alignment horizontal="center"/>
    </xf>
    <xf numFmtId="0" fontId="51" fillId="0" borderId="0">
      <alignment horizontal="center" wrapText="1"/>
    </xf>
    <xf numFmtId="0" fontId="47" fillId="0" borderId="0" applyFill="0">
      <alignment horizontal="center" wrapText="1"/>
    </xf>
    <xf numFmtId="0" fontId="52" fillId="20" borderId="3" applyNumberFormat="0" applyAlignment="0" applyProtection="0"/>
    <xf numFmtId="0" fontId="52" fillId="20" borderId="3" applyNumberFormat="0" applyAlignment="0" applyProtection="0"/>
    <xf numFmtId="0" fontId="53" fillId="21" borderId="4" applyNumberFormat="0" applyAlignment="0" applyProtection="0"/>
    <xf numFmtId="0" fontId="53" fillId="21" borderId="4" applyNumberFormat="0" applyAlignment="0" applyProtection="0"/>
    <xf numFmtId="43" fontId="6" fillId="0" borderId="0" applyFont="0" applyFill="0" applyBorder="0" applyAlignment="0" applyProtection="0"/>
    <xf numFmtId="43" fontId="15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2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2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33" fillId="0" borderId="0" applyFont="0" applyFill="0" applyBorder="0" applyAlignment="0" applyProtection="0"/>
    <xf numFmtId="43" fontId="16" fillId="0" borderId="0" applyFont="0" applyFill="0" applyBorder="0" applyAlignment="0" applyProtection="0"/>
    <xf numFmtId="43" fontId="136" fillId="0" borderId="0" applyFont="0" applyFill="0" applyBorder="0" applyAlignment="0" applyProtection="0"/>
    <xf numFmtId="43" fontId="16" fillId="0" borderId="0" applyFont="0" applyFill="0" applyBorder="0" applyAlignment="0" applyProtection="0"/>
    <xf numFmtId="43" fontId="153" fillId="0" borderId="0" applyFont="0" applyFill="0" applyBorder="0" applyAlignment="0" applyProtection="0"/>
    <xf numFmtId="43" fontId="155" fillId="0" borderId="0" applyFont="0" applyFill="0" applyBorder="0" applyAlignment="0" applyProtection="0"/>
    <xf numFmtId="43" fontId="159" fillId="0" borderId="0" applyFont="0" applyFill="0" applyBorder="0" applyAlignment="0" applyProtection="0"/>
    <xf numFmtId="43" fontId="16" fillId="0" borderId="0" applyFont="0" applyFill="0" applyBorder="0" applyAlignment="0" applyProtection="0"/>
    <xf numFmtId="43" fontId="133" fillId="0" borderId="0" applyFont="0" applyFill="0" applyBorder="0" applyAlignment="0" applyProtection="0"/>
    <xf numFmtId="43" fontId="16" fillId="0" borderId="0" applyFont="0" applyFill="0" applyBorder="0" applyAlignment="0" applyProtection="0"/>
    <xf numFmtId="43" fontId="159" fillId="0" borderId="0" applyFont="0" applyFill="0" applyBorder="0" applyAlignment="0" applyProtection="0"/>
    <xf numFmtId="43" fontId="16" fillId="0" borderId="0" applyFont="0" applyFill="0" applyBorder="0" applyAlignment="0" applyProtection="0"/>
    <xf numFmtId="43" fontId="159" fillId="0" borderId="0" applyFont="0" applyFill="0" applyBorder="0" applyAlignment="0" applyProtection="0"/>
    <xf numFmtId="43" fontId="14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53" fillId="0" borderId="0" applyFont="0" applyFill="0" applyBorder="0" applyAlignment="0" applyProtection="0"/>
    <xf numFmtId="43" fontId="155" fillId="0" borderId="0" applyFont="0" applyFill="0" applyBorder="0" applyAlignment="0" applyProtection="0"/>
    <xf numFmtId="43" fontId="6" fillId="0" borderId="0" applyFont="0" applyFill="0" applyBorder="0" applyAlignment="0" applyProtection="0"/>
    <xf numFmtId="3" fontId="16" fillId="0" borderId="0" applyFont="0" applyFill="0" applyBorder="0" applyAlignment="0" applyProtection="0"/>
    <xf numFmtId="44" fontId="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6" fillId="0" borderId="0" applyFont="0" applyFill="0" applyBorder="0" applyAlignment="0" applyProtection="0"/>
    <xf numFmtId="44" fontId="16" fillId="0" borderId="0" applyFont="0" applyFill="0" applyBorder="0" applyAlignment="0" applyProtection="0"/>
    <xf numFmtId="44" fontId="128"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29"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33" fillId="0" borderId="0" applyFont="0" applyFill="0" applyBorder="0" applyAlignment="0" applyProtection="0"/>
    <xf numFmtId="44" fontId="16" fillId="0" borderId="0" applyFont="0" applyFill="0" applyBorder="0" applyAlignment="0" applyProtection="0"/>
    <xf numFmtId="44" fontId="153" fillId="0" borderId="0" applyFont="0" applyFill="0" applyBorder="0" applyAlignment="0" applyProtection="0"/>
    <xf numFmtId="44" fontId="155" fillId="0" borderId="0" applyFont="0" applyFill="0" applyBorder="0" applyAlignment="0" applyProtection="0"/>
    <xf numFmtId="44" fontId="159" fillId="0" borderId="0" applyFont="0" applyFill="0" applyBorder="0" applyAlignment="0" applyProtection="0"/>
    <xf numFmtId="44" fontId="16" fillId="0" borderId="0" applyFont="0" applyFill="0" applyBorder="0" applyAlignment="0" applyProtection="0"/>
    <xf numFmtId="44" fontId="133" fillId="0" borderId="0" applyFont="0" applyFill="0" applyBorder="0" applyAlignment="0" applyProtection="0"/>
    <xf numFmtId="44" fontId="16" fillId="0" borderId="0" applyFont="0" applyFill="0" applyBorder="0" applyAlignment="0" applyProtection="0"/>
    <xf numFmtId="44" fontId="159" fillId="0" borderId="0" applyFont="0" applyFill="0" applyBorder="0" applyAlignment="0" applyProtection="0"/>
    <xf numFmtId="44" fontId="153" fillId="0" borderId="0" applyFont="0" applyFill="0" applyBorder="0" applyAlignment="0" applyProtection="0"/>
    <xf numFmtId="44" fontId="155" fillId="0" borderId="0" applyFont="0" applyFill="0" applyBorder="0" applyAlignment="0" applyProtection="0"/>
    <xf numFmtId="5" fontId="16" fillId="0" borderId="0" applyFont="0" applyFill="0" applyBorder="0" applyAlignment="0" applyProtection="0"/>
    <xf numFmtId="14" fontId="16"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2" fontId="16" fillId="0" borderId="0" applyFont="0" applyFill="0" applyBorder="0" applyAlignment="0" applyProtection="0"/>
    <xf numFmtId="0" fontId="55" fillId="4" borderId="0" applyNumberFormat="0" applyBorder="0" applyAlignment="0" applyProtection="0"/>
    <xf numFmtId="0" fontId="55" fillId="4" borderId="0" applyNumberFormat="0" applyBorder="0" applyAlignment="0" applyProtection="0"/>
    <xf numFmtId="0" fontId="35" fillId="0" borderId="0" applyFont="0" applyFill="0" applyBorder="0" applyAlignment="0" applyProtection="0"/>
    <xf numFmtId="0" fontId="35"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56" fillId="0" borderId="5" applyNumberFormat="0" applyFill="0" applyAlignment="0" applyProtection="0"/>
    <xf numFmtId="0" fontId="56" fillId="0" borderId="5"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6"/>
    <xf numFmtId="0" fontId="58" fillId="0" borderId="0"/>
    <xf numFmtId="0" fontId="59" fillId="7" borderId="3" applyNumberFormat="0" applyAlignment="0" applyProtection="0"/>
    <xf numFmtId="0" fontId="59" fillId="7" borderId="3" applyNumberFormat="0" applyAlignment="0" applyProtection="0"/>
    <xf numFmtId="0" fontId="60" fillId="0" borderId="7" applyNumberFormat="0" applyFill="0" applyAlignment="0" applyProtection="0"/>
    <xf numFmtId="0" fontId="60" fillId="0" borderId="7" applyNumberFormat="0" applyFill="0" applyAlignment="0" applyProtection="0"/>
    <xf numFmtId="0" fontId="61" fillId="22" borderId="0" applyNumberFormat="0" applyBorder="0" applyAlignment="0" applyProtection="0"/>
    <xf numFmtId="0" fontId="61" fillId="22" borderId="0" applyNumberFormat="0" applyBorder="0" applyAlignment="0" applyProtection="0"/>
    <xf numFmtId="3" fontId="128" fillId="0" borderId="0"/>
    <xf numFmtId="3" fontId="16" fillId="0" borderId="0"/>
    <xf numFmtId="3" fontId="16" fillId="0" borderId="0"/>
    <xf numFmtId="3" fontId="128" fillId="0" borderId="0"/>
    <xf numFmtId="0" fontId="16" fillId="0" borderId="0"/>
    <xf numFmtId="3" fontId="16" fillId="0" borderId="0"/>
    <xf numFmtId="3" fontId="128" fillId="0" borderId="0"/>
    <xf numFmtId="3" fontId="16" fillId="0" borderId="0"/>
    <xf numFmtId="0" fontId="159" fillId="0" borderId="0"/>
    <xf numFmtId="3" fontId="128" fillId="0" borderId="0"/>
    <xf numFmtId="3" fontId="16" fillId="0" borderId="0"/>
    <xf numFmtId="3" fontId="128" fillId="0" borderId="0"/>
    <xf numFmtId="3" fontId="16" fillId="0" borderId="0"/>
    <xf numFmtId="0" fontId="16" fillId="0" borderId="0"/>
    <xf numFmtId="3" fontId="128" fillId="0" borderId="0"/>
    <xf numFmtId="3" fontId="16" fillId="0" borderId="0"/>
    <xf numFmtId="3" fontId="128" fillId="0" borderId="0"/>
    <xf numFmtId="3" fontId="16" fillId="0" borderId="0"/>
    <xf numFmtId="3" fontId="128" fillId="0" borderId="0"/>
    <xf numFmtId="3" fontId="16" fillId="0" borderId="0"/>
    <xf numFmtId="3" fontId="129" fillId="0" borderId="0"/>
    <xf numFmtId="3" fontId="16" fillId="0" borderId="0"/>
    <xf numFmtId="0" fontId="16" fillId="0" borderId="0"/>
    <xf numFmtId="0" fontId="127" fillId="0" borderId="0"/>
    <xf numFmtId="0" fontId="160" fillId="0" borderId="0"/>
    <xf numFmtId="0" fontId="16" fillId="0" borderId="0"/>
    <xf numFmtId="0" fontId="16" fillId="0" borderId="0"/>
    <xf numFmtId="0" fontId="160" fillId="0" borderId="0"/>
    <xf numFmtId="0" fontId="16" fillId="0" borderId="0"/>
    <xf numFmtId="0" fontId="16" fillId="0" borderId="0"/>
    <xf numFmtId="3" fontId="129" fillId="0" borderId="0"/>
    <xf numFmtId="3" fontId="16" fillId="0" borderId="0"/>
    <xf numFmtId="3" fontId="129" fillId="0" borderId="0"/>
    <xf numFmtId="3" fontId="16" fillId="0" borderId="0"/>
    <xf numFmtId="3" fontId="129" fillId="0" borderId="0"/>
    <xf numFmtId="3" fontId="16" fillId="0" borderId="0"/>
    <xf numFmtId="3" fontId="129" fillId="0" borderId="0"/>
    <xf numFmtId="3" fontId="16" fillId="0" borderId="0"/>
    <xf numFmtId="3" fontId="129" fillId="0" borderId="0"/>
    <xf numFmtId="3" fontId="16" fillId="0" borderId="0"/>
    <xf numFmtId="3" fontId="129" fillId="0" borderId="0"/>
    <xf numFmtId="3" fontId="16" fillId="0" borderId="0"/>
    <xf numFmtId="3" fontId="129" fillId="0" borderId="0"/>
    <xf numFmtId="3" fontId="16" fillId="0" borderId="0"/>
    <xf numFmtId="3" fontId="16" fillId="0" borderId="0"/>
    <xf numFmtId="3" fontId="136" fillId="0" borderId="0"/>
    <xf numFmtId="3" fontId="16" fillId="0" borderId="0"/>
    <xf numFmtId="3" fontId="136" fillId="0" borderId="0"/>
    <xf numFmtId="3" fontId="16" fillId="0" borderId="0"/>
    <xf numFmtId="0" fontId="16" fillId="0" borderId="0"/>
    <xf numFmtId="0" fontId="16" fillId="0" borderId="0"/>
    <xf numFmtId="3" fontId="16" fillId="0" borderId="0"/>
    <xf numFmtId="0" fontId="16" fillId="0" borderId="0"/>
    <xf numFmtId="0" fontId="6" fillId="0" borderId="0"/>
    <xf numFmtId="0" fontId="16" fillId="0" borderId="0"/>
    <xf numFmtId="0" fontId="128" fillId="0" borderId="0"/>
    <xf numFmtId="0" fontId="16" fillId="0" borderId="0"/>
    <xf numFmtId="0" fontId="16" fillId="0" borderId="0"/>
    <xf numFmtId="0" fontId="129" fillId="0" borderId="0"/>
    <xf numFmtId="0" fontId="16" fillId="0" borderId="0"/>
    <xf numFmtId="0" fontId="16" fillId="0" borderId="0"/>
    <xf numFmtId="0" fontId="16" fillId="0" borderId="0"/>
    <xf numFmtId="0" fontId="133" fillId="0" borderId="0"/>
    <xf numFmtId="0" fontId="16" fillId="0" borderId="0"/>
    <xf numFmtId="0" fontId="136" fillId="0" borderId="0"/>
    <xf numFmtId="0" fontId="16" fillId="0" borderId="0"/>
    <xf numFmtId="0" fontId="153" fillId="0" borderId="0"/>
    <xf numFmtId="0" fontId="155" fillId="0" borderId="0"/>
    <xf numFmtId="0" fontId="16" fillId="0" borderId="0"/>
    <xf numFmtId="3" fontId="121" fillId="0" borderId="0"/>
    <xf numFmtId="3" fontId="16" fillId="0" borderId="0"/>
    <xf numFmtId="0" fontId="16" fillId="0" borderId="0"/>
    <xf numFmtId="3" fontId="16" fillId="0" borderId="0"/>
    <xf numFmtId="0" fontId="16" fillId="0" borderId="0"/>
    <xf numFmtId="0" fontId="159" fillId="0" borderId="0"/>
    <xf numFmtId="0" fontId="128" fillId="0" borderId="0"/>
    <xf numFmtId="0" fontId="16" fillId="0" borderId="0"/>
    <xf numFmtId="0" fontId="16" fillId="0" borderId="0"/>
    <xf numFmtId="0" fontId="129" fillId="0" borderId="0"/>
    <xf numFmtId="0" fontId="16" fillId="0" borderId="0"/>
    <xf numFmtId="0" fontId="136" fillId="0" borderId="0"/>
    <xf numFmtId="0" fontId="16" fillId="0" borderId="0"/>
    <xf numFmtId="0" fontId="159" fillId="0" borderId="0"/>
    <xf numFmtId="0" fontId="16" fillId="0" borderId="0"/>
    <xf numFmtId="0" fontId="159" fillId="0" borderId="0"/>
    <xf numFmtId="0" fontId="16" fillId="0" borderId="0"/>
    <xf numFmtId="0" fontId="159" fillId="0" borderId="0"/>
    <xf numFmtId="0" fontId="16" fillId="0" borderId="0"/>
    <xf numFmtId="0" fontId="7" fillId="0" borderId="0" applyProtection="0"/>
    <xf numFmtId="0" fontId="6" fillId="0" borderId="0"/>
    <xf numFmtId="0" fontId="129" fillId="0" borderId="0"/>
    <xf numFmtId="0" fontId="16" fillId="0" borderId="0"/>
    <xf numFmtId="0" fontId="16" fillId="0" borderId="0"/>
    <xf numFmtId="0" fontId="133" fillId="0" borderId="0"/>
    <xf numFmtId="0" fontId="16" fillId="0" borderId="0"/>
    <xf numFmtId="172" fontId="7" fillId="0" borderId="0" applyProtection="0"/>
    <xf numFmtId="0" fontId="6" fillId="0" borderId="0"/>
    <xf numFmtId="0" fontId="153" fillId="0" borderId="0"/>
    <xf numFmtId="0" fontId="6" fillId="0" borderId="0"/>
    <xf numFmtId="172" fontId="7" fillId="0" borderId="0" applyProtection="0"/>
    <xf numFmtId="0" fontId="74" fillId="0" borderId="0"/>
    <xf numFmtId="0" fontId="7" fillId="0" borderId="0"/>
    <xf numFmtId="0" fontId="16" fillId="0" borderId="0"/>
    <xf numFmtId="0" fontId="6" fillId="0" borderId="0"/>
    <xf numFmtId="0" fontId="7" fillId="23" borderId="8" applyNumberFormat="0" applyFont="0" applyAlignment="0" applyProtection="0"/>
    <xf numFmtId="0" fontId="7" fillId="23" borderId="8" applyNumberFormat="0" applyFont="0" applyAlignment="0" applyProtection="0"/>
    <xf numFmtId="0" fontId="62" fillId="20" borderId="9" applyNumberFormat="0" applyAlignment="0" applyProtection="0"/>
    <xf numFmtId="0" fontId="62" fillId="20" borderId="9" applyNumberFormat="0" applyAlignment="0" applyProtection="0"/>
    <xf numFmtId="9" fontId="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6" fillId="0" borderId="0" applyFont="0" applyFill="0" applyBorder="0" applyAlignment="0" applyProtection="0"/>
    <xf numFmtId="9" fontId="16" fillId="0" borderId="0" applyFont="0" applyFill="0" applyBorder="0" applyAlignment="0" applyProtection="0"/>
    <xf numFmtId="9" fontId="12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29"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33" fillId="0" borderId="0" applyFont="0" applyFill="0" applyBorder="0" applyAlignment="0" applyProtection="0"/>
    <xf numFmtId="9" fontId="16" fillId="0" borderId="0" applyFont="0" applyFill="0" applyBorder="0" applyAlignment="0" applyProtection="0"/>
    <xf numFmtId="9" fontId="153" fillId="0" borderId="0" applyFont="0" applyFill="0" applyBorder="0" applyAlignment="0" applyProtection="0"/>
    <xf numFmtId="9" fontId="155" fillId="0" borderId="0" applyFont="0" applyFill="0" applyBorder="0" applyAlignment="0" applyProtection="0"/>
    <xf numFmtId="9" fontId="159"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33" fillId="0" borderId="0" applyFont="0" applyFill="0" applyBorder="0" applyAlignment="0" applyProtection="0"/>
    <xf numFmtId="9" fontId="16" fillId="0" borderId="0" applyFont="0" applyFill="0" applyBorder="0" applyAlignment="0" applyProtection="0"/>
    <xf numFmtId="9" fontId="159" fillId="0" borderId="0" applyFont="0" applyFill="0" applyBorder="0" applyAlignment="0" applyProtection="0"/>
    <xf numFmtId="9" fontId="14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53" fillId="0" borderId="0" applyFont="0" applyFill="0" applyBorder="0" applyAlignment="0" applyProtection="0"/>
    <xf numFmtId="9" fontId="155" fillId="0" borderId="0" applyFont="0" applyFill="0" applyBorder="0" applyAlignment="0" applyProtection="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3" fontId="16" fillId="0" borderId="0">
      <alignment horizontal="left" vertical="top"/>
    </xf>
    <xf numFmtId="0" fontId="38" fillId="0" borderId="6">
      <alignment horizontal="center"/>
    </xf>
    <xf numFmtId="3" fontId="37" fillId="0" borderId="0" applyFont="0" applyFill="0" applyBorder="0" applyAlignment="0" applyProtection="0"/>
    <xf numFmtId="0" fontId="37" fillId="24" borderId="0" applyNumberFormat="0" applyFont="0" applyBorder="0" applyAlignment="0" applyProtection="0"/>
    <xf numFmtId="3" fontId="16" fillId="0" borderId="0">
      <alignment horizontal="right" vertical="top"/>
    </xf>
    <xf numFmtId="41" fontId="9" fillId="25" borderId="10" applyFill="0"/>
    <xf numFmtId="0" fontId="63" fillId="0" borderId="0">
      <alignment horizontal="left" indent="7"/>
    </xf>
    <xf numFmtId="41" fontId="9" fillId="0" borderId="10" applyFill="0">
      <alignment horizontal="left" indent="2"/>
    </xf>
    <xf numFmtId="172" fontId="29" fillId="0" borderId="11" applyFill="0">
      <alignment horizontal="right"/>
    </xf>
    <xf numFmtId="0" fontId="13" fillId="0" borderId="12" applyNumberFormat="0" applyFont="0" applyBorder="0">
      <alignment horizontal="right"/>
    </xf>
    <xf numFmtId="0" fontId="64" fillId="0" borderId="0" applyFill="0"/>
    <xf numFmtId="0" fontId="10" fillId="0" borderId="0" applyFill="0"/>
    <xf numFmtId="4" fontId="29" fillId="0" borderId="11" applyFill="0"/>
    <xf numFmtId="0" fontId="16" fillId="0" borderId="0" applyNumberFormat="0" applyFont="0" applyBorder="0" applyAlignment="0"/>
    <xf numFmtId="0" fontId="46" fillId="0" borderId="0" applyFill="0">
      <alignment horizontal="left" indent="1"/>
    </xf>
    <xf numFmtId="0" fontId="65" fillId="0" borderId="0" applyFill="0">
      <alignment horizontal="left" indent="1"/>
    </xf>
    <xf numFmtId="4" fontId="28" fillId="0" borderId="0" applyFill="0"/>
    <xf numFmtId="0" fontId="16" fillId="0" borderId="0" applyNumberFormat="0" applyFont="0" applyFill="0" applyBorder="0" applyAlignment="0"/>
    <xf numFmtId="0" fontId="46" fillId="0" borderId="0" applyFill="0">
      <alignment horizontal="left" indent="2"/>
    </xf>
    <xf numFmtId="0" fontId="10" fillId="0" borderId="0" applyFill="0">
      <alignment horizontal="left" indent="2"/>
    </xf>
    <xf numFmtId="4" fontId="28" fillId="0" borderId="0" applyFill="0"/>
    <xf numFmtId="0" fontId="16" fillId="0" borderId="0" applyNumberFormat="0" applyFont="0" applyBorder="0" applyAlignment="0"/>
    <xf numFmtId="0" fontId="66" fillId="0" borderId="0">
      <alignment horizontal="left" indent="3"/>
    </xf>
    <xf numFmtId="0" fontId="67" fillId="0" borderId="0" applyFill="0">
      <alignment horizontal="left" indent="3"/>
    </xf>
    <xf numFmtId="4" fontId="28" fillId="0" borderId="0" applyFill="0"/>
    <xf numFmtId="0" fontId="16" fillId="0" borderId="0" applyNumberFormat="0" applyFont="0" applyBorder="0" applyAlignment="0"/>
    <xf numFmtId="0" fontId="20" fillId="0" borderId="0">
      <alignment horizontal="left" indent="4"/>
    </xf>
    <xf numFmtId="0" fontId="16" fillId="0" borderId="0" applyFill="0">
      <alignment horizontal="left" indent="4"/>
    </xf>
    <xf numFmtId="4" fontId="47" fillId="0" borderId="0" applyFill="0"/>
    <xf numFmtId="0" fontId="16" fillId="0" borderId="0" applyNumberFormat="0" applyFont="0" applyBorder="0" applyAlignment="0"/>
    <xf numFmtId="0" fontId="48" fillId="0" borderId="0">
      <alignment horizontal="left" indent="5"/>
    </xf>
    <xf numFmtId="0" fontId="49" fillId="0" borderId="0" applyFill="0">
      <alignment horizontal="left" indent="5"/>
    </xf>
    <xf numFmtId="4" fontId="50" fillId="0" borderId="0" applyFill="0"/>
    <xf numFmtId="0" fontId="16" fillId="0" borderId="0" applyNumberFormat="0" applyFont="0" applyFill="0" applyBorder="0" applyAlignment="0"/>
    <xf numFmtId="0" fontId="51" fillId="0" borderId="0" applyFill="0">
      <alignment horizontal="left" indent="6"/>
    </xf>
    <xf numFmtId="0" fontId="47" fillId="0" borderId="0" applyFill="0">
      <alignment horizontal="left" indent="6"/>
    </xf>
    <xf numFmtId="0" fontId="68" fillId="0" borderId="0" applyNumberFormat="0" applyFill="0" applyBorder="0" applyAlignment="0" applyProtection="0"/>
    <xf numFmtId="0" fontId="68" fillId="0" borderId="0" applyNumberForma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5" fillId="0" borderId="0"/>
    <xf numFmtId="9" fontId="171" fillId="0" borderId="0" applyFont="0" applyFill="0" applyBorder="0" applyAlignment="0" applyProtection="0"/>
    <xf numFmtId="172" fontId="171" fillId="0" borderId="0" applyProtection="0"/>
    <xf numFmtId="43" fontId="5" fillId="0" borderId="0" applyFont="0" applyFill="0" applyBorder="0" applyAlignment="0" applyProtection="0"/>
    <xf numFmtId="43" fontId="171" fillId="0" borderId="0" applyFont="0" applyFill="0" applyBorder="0" applyAlignment="0" applyProtection="0"/>
    <xf numFmtId="172" fontId="171" fillId="0" borderId="0" applyProtection="0"/>
    <xf numFmtId="44" fontId="174" fillId="0" borderId="0" applyFont="0" applyFill="0" applyBorder="0" applyAlignment="0" applyProtection="0"/>
    <xf numFmtId="42" fontId="174" fillId="0" borderId="0" applyFont="0" applyFill="0" applyBorder="0" applyAlignment="0" applyProtection="0"/>
    <xf numFmtId="41" fontId="174" fillId="0" borderId="0" applyFont="0" applyFill="0" applyBorder="0" applyAlignment="0" applyProtection="0"/>
    <xf numFmtId="0" fontId="4" fillId="0" borderId="0"/>
    <xf numFmtId="43" fontId="4" fillId="0" borderId="0" applyFont="0" applyFill="0" applyBorder="0" applyAlignment="0" applyProtection="0"/>
    <xf numFmtId="172" fontId="10" fillId="0" borderId="66" applyFill="0"/>
    <xf numFmtId="0" fontId="62" fillId="20" borderId="65" applyNumberFormat="0" applyAlignment="0" applyProtection="0"/>
    <xf numFmtId="0" fontId="62" fillId="20" borderId="65" applyNumberFormat="0" applyAlignment="0" applyProtection="0"/>
    <xf numFmtId="0" fontId="7" fillId="23" borderId="64" applyNumberFormat="0" applyFont="0" applyAlignment="0" applyProtection="0"/>
    <xf numFmtId="0" fontId="7" fillId="23" borderId="64" applyNumberFormat="0" applyFont="0" applyAlignment="0" applyProtection="0"/>
    <xf numFmtId="0" fontId="52" fillId="20" borderId="67" applyNumberFormat="0" applyAlignment="0" applyProtection="0"/>
    <xf numFmtId="0" fontId="52" fillId="20" borderId="67" applyNumberFormat="0" applyAlignment="0" applyProtection="0"/>
    <xf numFmtId="172" fontId="10" fillId="0" borderId="58" applyFill="0"/>
    <xf numFmtId="0" fontId="52" fillId="20" borderId="59" applyNumberFormat="0" applyAlignment="0" applyProtection="0"/>
    <xf numFmtId="0" fontId="52" fillId="20" borderId="59" applyNumberFormat="0" applyAlignment="0" applyProtection="0"/>
    <xf numFmtId="43" fontId="16" fillId="0" borderId="0" applyFont="0" applyFill="0" applyBorder="0" applyAlignment="0" applyProtection="0"/>
    <xf numFmtId="43" fontId="4"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59" fillId="7" borderId="67" applyNumberFormat="0" applyAlignment="0" applyProtection="0"/>
    <xf numFmtId="0" fontId="59" fillId="7" borderId="67" applyNumberFormat="0" applyAlignment="0" applyProtection="0"/>
    <xf numFmtId="0" fontId="59" fillId="7" borderId="59" applyNumberFormat="0" applyAlignment="0" applyProtection="0"/>
    <xf numFmtId="0" fontId="59" fillId="7" borderId="59" applyNumberFormat="0" applyAlignment="0" applyProtection="0"/>
    <xf numFmtId="0" fontId="59" fillId="7" borderId="63" applyNumberFormat="0" applyAlignment="0" applyProtection="0"/>
    <xf numFmtId="0" fontId="59" fillId="7" borderId="63" applyNumberFormat="0" applyAlignment="0" applyProtection="0"/>
    <xf numFmtId="0" fontId="4" fillId="0" borderId="0"/>
    <xf numFmtId="0" fontId="16" fillId="0" borderId="0"/>
    <xf numFmtId="0" fontId="16" fillId="0" borderId="0"/>
    <xf numFmtId="0" fontId="4" fillId="0" borderId="0"/>
    <xf numFmtId="0" fontId="52" fillId="20" borderId="63" applyNumberFormat="0" applyAlignment="0" applyProtection="0"/>
    <xf numFmtId="0" fontId="4" fillId="0" borderId="0"/>
    <xf numFmtId="0" fontId="52" fillId="20" borderId="63" applyNumberFormat="0" applyAlignment="0" applyProtection="0"/>
    <xf numFmtId="0" fontId="4" fillId="0" borderId="0"/>
    <xf numFmtId="0" fontId="4" fillId="0" borderId="0"/>
    <xf numFmtId="0" fontId="7" fillId="23" borderId="60" applyNumberFormat="0" applyFont="0" applyAlignment="0" applyProtection="0"/>
    <xf numFmtId="0" fontId="7" fillId="23" borderId="60" applyNumberFormat="0" applyFont="0" applyAlignment="0" applyProtection="0"/>
    <xf numFmtId="0" fontId="7" fillId="23" borderId="68" applyNumberFormat="0" applyFont="0" applyAlignment="0" applyProtection="0"/>
    <xf numFmtId="0" fontId="62" fillId="20" borderId="69" applyNumberFormat="0" applyAlignment="0" applyProtection="0"/>
    <xf numFmtId="0" fontId="62" fillId="20" borderId="69" applyNumberFormat="0" applyAlignment="0" applyProtection="0"/>
    <xf numFmtId="172" fontId="10" fillId="0" borderId="62" applyFill="0"/>
    <xf numFmtId="172" fontId="8" fillId="0" borderId="57" applyFill="0"/>
    <xf numFmtId="9" fontId="16" fillId="0" borderId="0" applyFont="0" applyFill="0" applyBorder="0" applyAlignment="0" applyProtection="0"/>
    <xf numFmtId="9" fontId="1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 fillId="0" borderId="0"/>
    <xf numFmtId="0" fontId="16" fillId="0" borderId="0"/>
    <xf numFmtId="0" fontId="7" fillId="23" borderId="68" applyNumberFormat="0" applyFont="0" applyAlignment="0" applyProtection="0"/>
    <xf numFmtId="9" fontId="16" fillId="0" borderId="0" applyFont="0" applyFill="0" applyBorder="0" applyAlignment="0" applyProtection="0"/>
    <xf numFmtId="43" fontId="4" fillId="0" borderId="0" applyFont="0" applyFill="0" applyBorder="0" applyAlignment="0" applyProtection="0"/>
    <xf numFmtId="0" fontId="13" fillId="0" borderId="61" applyNumberFormat="0" applyFont="0" applyBorder="0">
      <alignment horizontal="right"/>
    </xf>
    <xf numFmtId="0" fontId="6" fillId="0" borderId="0"/>
    <xf numFmtId="0" fontId="6" fillId="0" borderId="0" applyFont="0" applyAlignment="0"/>
    <xf numFmtId="0" fontId="6" fillId="0" borderId="0" applyNumberFormat="0" applyFont="0" applyAlignment="0"/>
    <xf numFmtId="172" fontId="6" fillId="0" borderId="0" applyFill="0"/>
    <xf numFmtId="0" fontId="6" fillId="0" borderId="0" applyFill="0">
      <alignment horizontal="center" vertical="center" wrapText="1"/>
    </xf>
    <xf numFmtId="43" fontId="6" fillId="0" borderId="0" applyFont="0" applyFill="0" applyBorder="0" applyAlignment="0" applyProtection="0"/>
    <xf numFmtId="43" fontId="17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7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75" fillId="0" borderId="0" applyFont="0" applyFill="0" applyBorder="0" applyAlignment="0" applyProtection="0"/>
    <xf numFmtId="43" fontId="6" fillId="0" borderId="0" applyFont="0" applyFill="0" applyBorder="0" applyAlignment="0" applyProtection="0"/>
    <xf numFmtId="43" fontId="17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7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7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5" fontId="6" fillId="0" borderId="0" applyFont="0" applyFill="0" applyBorder="0" applyAlignment="0" applyProtection="0"/>
    <xf numFmtId="14" fontId="6" fillId="0" borderId="0" applyFont="0" applyFill="0" applyBorder="0" applyAlignment="0" applyProtection="0"/>
    <xf numFmtId="2" fontId="6" fillId="0" borderId="0" applyFont="0" applyFill="0" applyBorder="0" applyAlignment="0" applyProtection="0"/>
    <xf numFmtId="3" fontId="6" fillId="0" borderId="0"/>
    <xf numFmtId="3" fontId="6" fillId="0" borderId="0"/>
    <xf numFmtId="3" fontId="6" fillId="0" borderId="0"/>
    <xf numFmtId="3" fontId="6" fillId="0" borderId="0"/>
    <xf numFmtId="0" fontId="6" fillId="0" borderId="0"/>
    <xf numFmtId="3" fontId="6" fillId="0" borderId="0"/>
    <xf numFmtId="3" fontId="6" fillId="0" borderId="0"/>
    <xf numFmtId="3" fontId="6" fillId="0" borderId="0"/>
    <xf numFmtId="0" fontId="3" fillId="0" borderId="0"/>
    <xf numFmtId="3" fontId="6" fillId="0" borderId="0"/>
    <xf numFmtId="3" fontId="6" fillId="0" borderId="0"/>
    <xf numFmtId="3" fontId="6" fillId="0" borderId="0"/>
    <xf numFmtId="3" fontId="6" fillId="0" borderId="0"/>
    <xf numFmtId="0"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3" fontId="6" fillId="0" borderId="0"/>
    <xf numFmtId="0" fontId="6" fillId="0" borderId="0"/>
    <xf numFmtId="0" fontId="6" fillId="0" borderId="0"/>
    <xf numFmtId="3" fontId="6" fillId="0" borderId="0"/>
    <xf numFmtId="3"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 fontId="6" fillId="0" borderId="0"/>
    <xf numFmtId="3" fontId="6" fillId="0" borderId="0"/>
    <xf numFmtId="0" fontId="6" fillId="0" borderId="0"/>
    <xf numFmtId="3" fontId="6" fillId="0" borderId="0"/>
    <xf numFmtId="0" fontId="6"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3" fontId="6" fillId="0" borderId="0">
      <alignment horizontal="left" vertical="top"/>
    </xf>
    <xf numFmtId="3" fontId="6" fillId="0" borderId="0">
      <alignment horizontal="right" vertical="top"/>
    </xf>
    <xf numFmtId="0" fontId="6" fillId="0" borderId="0" applyNumberFormat="0" applyFont="0" applyBorder="0" applyAlignment="0"/>
    <xf numFmtId="0" fontId="6" fillId="0" borderId="0" applyNumberFormat="0" applyFont="0" applyFill="0" applyBorder="0" applyAlignment="0"/>
    <xf numFmtId="0" fontId="6" fillId="0" borderId="0" applyNumberFormat="0" applyFont="0" applyBorder="0" applyAlignment="0"/>
    <xf numFmtId="0" fontId="6" fillId="0" borderId="0" applyNumberFormat="0" applyFont="0" applyBorder="0" applyAlignment="0"/>
    <xf numFmtId="0" fontId="6" fillId="0" borderId="0" applyFill="0">
      <alignment horizontal="left" indent="4"/>
    </xf>
    <xf numFmtId="0" fontId="6" fillId="0" borderId="0" applyNumberFormat="0" applyFont="0" applyBorder="0" applyAlignment="0"/>
    <xf numFmtId="0" fontId="6" fillId="0" borderId="0" applyNumberFormat="0" applyFont="0" applyFill="0" applyBorder="0" applyAlignment="0"/>
    <xf numFmtId="0" fontId="6" fillId="0" borderId="0" applyFont="0" applyFill="0" applyBorder="0" applyAlignment="0" applyProtection="0"/>
    <xf numFmtId="0" fontId="6" fillId="0" borderId="0" applyFont="0" applyFill="0" applyBorder="0" applyAlignment="0" applyProtection="0"/>
    <xf numFmtId="0" fontId="6" fillId="0" borderId="0"/>
    <xf numFmtId="0" fontId="3" fillId="0" borderId="0"/>
    <xf numFmtId="9" fontId="171" fillId="0" borderId="0" applyFont="0" applyFill="0" applyBorder="0" applyAlignment="0" applyProtection="0"/>
    <xf numFmtId="43" fontId="3" fillId="0" borderId="0" applyFont="0" applyFill="0" applyBorder="0" applyAlignment="0" applyProtection="0"/>
    <xf numFmtId="43" fontId="171" fillId="0" borderId="0" applyFont="0" applyFill="0" applyBorder="0" applyAlignment="0" applyProtection="0"/>
    <xf numFmtId="172" fontId="171" fillId="0" borderId="0" applyProtection="0"/>
    <xf numFmtId="44" fontId="174" fillId="0" borderId="0" applyFont="0" applyFill="0" applyBorder="0" applyAlignment="0" applyProtection="0"/>
    <xf numFmtId="0" fontId="3"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2" fillId="0" borderId="0"/>
    <xf numFmtId="0" fontId="2" fillId="0" borderId="0"/>
    <xf numFmtId="172" fontId="171" fillId="0" borderId="0" applyProtection="0"/>
    <xf numFmtId="43" fontId="2" fillId="0" borderId="0" applyFont="0" applyFill="0" applyBorder="0" applyAlignment="0" applyProtection="0"/>
    <xf numFmtId="0" fontId="6" fillId="0" borderId="0"/>
    <xf numFmtId="172" fontId="7" fillId="0" borderId="0" applyProtection="0"/>
    <xf numFmtId="0" fontId="1" fillId="0" borderId="0"/>
    <xf numFmtId="0" fontId="6" fillId="0" borderId="0"/>
    <xf numFmtId="43" fontId="171" fillId="0" borderId="0" applyFont="0" applyFill="0" applyBorder="0" applyAlignment="0" applyProtection="0"/>
  </cellStyleXfs>
  <cellXfs count="1332">
    <xf numFmtId="0" fontId="0" fillId="0" borderId="0" xfId="0"/>
    <xf numFmtId="0" fontId="0" fillId="0" borderId="0" xfId="0" applyAlignment="1">
      <alignment horizontal="center"/>
    </xf>
    <xf numFmtId="0" fontId="9" fillId="0" borderId="0" xfId="0" applyFont="1"/>
    <xf numFmtId="3" fontId="9" fillId="0" borderId="0" xfId="0" applyNumberFormat="1" applyFont="1" applyAlignment="1">
      <alignment horizontal="center"/>
    </xf>
    <xf numFmtId="0" fontId="16" fillId="0" borderId="0" xfId="0" applyFont="1"/>
    <xf numFmtId="0" fontId="13" fillId="0" borderId="0" xfId="254" applyFont="1" applyAlignment="1">
      <alignment horizontal="center"/>
    </xf>
    <xf numFmtId="0" fontId="19" fillId="0" borderId="0" xfId="254" applyFont="1"/>
    <xf numFmtId="9" fontId="13" fillId="0" borderId="0" xfId="254" quotePrefix="1" applyNumberFormat="1" applyFont="1" applyAlignment="1">
      <alignment horizontal="center"/>
    </xf>
    <xf numFmtId="0" fontId="21" fillId="0" borderId="0" xfId="254" applyFont="1" applyAlignment="1">
      <alignment horizontal="right"/>
    </xf>
    <xf numFmtId="0" fontId="21" fillId="0" borderId="0" xfId="254" applyFont="1" applyAlignment="1">
      <alignment horizontal="center"/>
    </xf>
    <xf numFmtId="9" fontId="13" fillId="0" borderId="0" xfId="254" applyNumberFormat="1" applyFont="1" applyAlignment="1">
      <alignment horizontal="center"/>
    </xf>
    <xf numFmtId="0" fontId="22" fillId="0" borderId="0" xfId="0" applyFont="1" applyAlignment="1">
      <alignment horizontal="right"/>
    </xf>
    <xf numFmtId="0" fontId="0" fillId="0" borderId="0" xfId="0" applyAlignment="1">
      <alignment wrapText="1"/>
    </xf>
    <xf numFmtId="0" fontId="8" fillId="0" borderId="0" xfId="0" applyFont="1"/>
    <xf numFmtId="0" fontId="22" fillId="0" borderId="0" xfId="0" applyFont="1"/>
    <xf numFmtId="0" fontId="16" fillId="0" borderId="0" xfId="254" applyFont="1"/>
    <xf numFmtId="41" fontId="16" fillId="0" borderId="0" xfId="254" applyNumberFormat="1" applyFont="1"/>
    <xf numFmtId="0" fontId="19" fillId="0" borderId="0" xfId="254" applyFont="1" applyAlignment="1">
      <alignment horizontal="left"/>
    </xf>
    <xf numFmtId="3" fontId="16" fillId="0" borderId="0" xfId="0" applyNumberFormat="1" applyFont="1"/>
    <xf numFmtId="0" fontId="9" fillId="0" borderId="0" xfId="254" applyFont="1" applyAlignment="1">
      <alignment horizontal="right"/>
    </xf>
    <xf numFmtId="40" fontId="16" fillId="0" borderId="0" xfId="0" applyNumberFormat="1" applyFont="1"/>
    <xf numFmtId="0" fontId="9" fillId="0" borderId="0" xfId="254" applyFont="1"/>
    <xf numFmtId="0" fontId="13" fillId="0" borderId="0" xfId="254" applyFont="1" applyAlignment="1">
      <alignment horizontal="left"/>
    </xf>
    <xf numFmtId="0" fontId="13" fillId="0" borderId="0" xfId="254" applyFont="1"/>
    <xf numFmtId="0" fontId="16" fillId="0" borderId="0" xfId="254" applyFont="1" applyAlignment="1">
      <alignment horizontal="left"/>
    </xf>
    <xf numFmtId="0" fontId="10" fillId="0" borderId="0" xfId="254" applyFont="1" applyAlignment="1">
      <alignment horizontal="center"/>
    </xf>
    <xf numFmtId="37" fontId="9" fillId="0" borderId="0" xfId="0" applyNumberFormat="1" applyFont="1"/>
    <xf numFmtId="0" fontId="30" fillId="0" borderId="0" xfId="0" applyFont="1"/>
    <xf numFmtId="0" fontId="9" fillId="0" borderId="0" xfId="0" applyFont="1" applyAlignment="1">
      <alignment horizontal="center"/>
    </xf>
    <xf numFmtId="37" fontId="9" fillId="0" borderId="0" xfId="0" applyNumberFormat="1" applyFont="1" applyAlignment="1">
      <alignment horizontal="center"/>
    </xf>
    <xf numFmtId="10" fontId="9" fillId="0" borderId="0" xfId="0" applyNumberFormat="1" applyFont="1"/>
    <xf numFmtId="3" fontId="23" fillId="0" borderId="0" xfId="0" applyNumberFormat="1" applyFont="1"/>
    <xf numFmtId="41" fontId="31" fillId="0" borderId="0" xfId="254" applyNumberFormat="1" applyFont="1"/>
    <xf numFmtId="0" fontId="32" fillId="0" borderId="0" xfId="254" applyFont="1" applyAlignment="1">
      <alignment horizontal="left"/>
    </xf>
    <xf numFmtId="0" fontId="30" fillId="0" borderId="0" xfId="254" applyFont="1"/>
    <xf numFmtId="41" fontId="30" fillId="0" borderId="0" xfId="254" applyNumberFormat="1" applyFont="1" applyAlignment="1">
      <alignment vertical="top"/>
    </xf>
    <xf numFmtId="181" fontId="30" fillId="0" borderId="0" xfId="254" applyNumberFormat="1" applyFont="1"/>
    <xf numFmtId="41" fontId="30" fillId="0" borderId="0" xfId="254" applyNumberFormat="1" applyFont="1"/>
    <xf numFmtId="0" fontId="30" fillId="0" borderId="0" xfId="254" applyFont="1" applyAlignment="1">
      <alignment horizontal="left"/>
    </xf>
    <xf numFmtId="0" fontId="33" fillId="0" borderId="0" xfId="254" applyFont="1"/>
    <xf numFmtId="0" fontId="30" fillId="0" borderId="0" xfId="254" applyFont="1" applyAlignment="1">
      <alignment horizontal="center"/>
    </xf>
    <xf numFmtId="0" fontId="14" fillId="0" borderId="0" xfId="254" applyFont="1" applyAlignment="1">
      <alignment horizontal="center"/>
    </xf>
    <xf numFmtId="173" fontId="30" fillId="0" borderId="0" xfId="254" applyNumberFormat="1" applyFont="1"/>
    <xf numFmtId="173" fontId="30" fillId="0" borderId="0" xfId="254" applyNumberFormat="1" applyFont="1" applyAlignment="1">
      <alignment vertical="top"/>
    </xf>
    <xf numFmtId="41" fontId="30" fillId="0" borderId="13" xfId="254" applyNumberFormat="1" applyFont="1" applyBorder="1"/>
    <xf numFmtId="173" fontId="10" fillId="0" borderId="0" xfId="86" applyNumberFormat="1" applyFont="1" applyFill="1" applyAlignment="1">
      <alignment horizontal="center"/>
    </xf>
    <xf numFmtId="0" fontId="9" fillId="0" borderId="0" xfId="254" applyFont="1" applyAlignment="1">
      <alignment horizontal="center"/>
    </xf>
    <xf numFmtId="0" fontId="34" fillId="0" borderId="0" xfId="254" applyFont="1"/>
    <xf numFmtId="41" fontId="9" fillId="0" borderId="13" xfId="254" applyNumberFormat="1" applyFont="1" applyBorder="1"/>
    <xf numFmtId="38" fontId="16" fillId="0" borderId="0" xfId="0" applyNumberFormat="1" applyFont="1"/>
    <xf numFmtId="43" fontId="9" fillId="0" borderId="0" xfId="254" applyNumberFormat="1" applyFont="1"/>
    <xf numFmtId="3" fontId="9" fillId="0" borderId="0" xfId="0" applyNumberFormat="1" applyFont="1"/>
    <xf numFmtId="41" fontId="31" fillId="25" borderId="0" xfId="254" applyNumberFormat="1" applyFont="1" applyFill="1"/>
    <xf numFmtId="0" fontId="11" fillId="0" borderId="0" xfId="215" applyFont="1" applyAlignment="1">
      <alignment horizontal="left"/>
    </xf>
    <xf numFmtId="0" fontId="16" fillId="0" borderId="0" xfId="215"/>
    <xf numFmtId="0" fontId="16" fillId="0" borderId="0" xfId="215" applyAlignment="1">
      <alignment horizontal="center"/>
    </xf>
    <xf numFmtId="0" fontId="16" fillId="0" borderId="0" xfId="215" applyAlignment="1">
      <alignment horizontal="left"/>
    </xf>
    <xf numFmtId="0" fontId="13" fillId="0" borderId="0" xfId="215" applyFont="1" applyAlignment="1">
      <alignment horizontal="left"/>
    </xf>
    <xf numFmtId="0" fontId="16" fillId="0" borderId="0" xfId="215" applyAlignment="1">
      <alignment horizontal="center" wrapText="1"/>
    </xf>
    <xf numFmtId="3" fontId="16" fillId="0" borderId="0" xfId="215" applyNumberFormat="1"/>
    <xf numFmtId="173" fontId="16" fillId="0" borderId="0" xfId="89" applyNumberFormat="1" applyFont="1" applyFill="1" applyBorder="1" applyAlignment="1">
      <alignment horizontal="right"/>
    </xf>
    <xf numFmtId="0" fontId="12" fillId="0" borderId="0" xfId="215" applyFont="1"/>
    <xf numFmtId="0" fontId="13" fillId="0" borderId="0" xfId="215" applyFont="1"/>
    <xf numFmtId="0" fontId="13" fillId="0" borderId="0" xfId="215" applyFont="1" applyAlignment="1">
      <alignment horizontal="center"/>
    </xf>
    <xf numFmtId="164" fontId="16" fillId="0" borderId="0" xfId="275" applyNumberFormat="1" applyFont="1" applyFill="1" applyBorder="1" applyAlignment="1"/>
    <xf numFmtId="173" fontId="16" fillId="0" borderId="0" xfId="89" applyNumberFormat="1" applyFont="1" applyFill="1" applyBorder="1" applyAlignment="1">
      <alignment horizontal="left"/>
    </xf>
    <xf numFmtId="3" fontId="16" fillId="0" borderId="0" xfId="215" applyNumberFormat="1" applyAlignment="1">
      <alignment horizontal="right"/>
    </xf>
    <xf numFmtId="3" fontId="16" fillId="0" borderId="0" xfId="215" applyNumberFormat="1" applyAlignment="1">
      <alignment horizontal="center"/>
    </xf>
    <xf numFmtId="0" fontId="0" fillId="0" borderId="0" xfId="0" applyAlignment="1">
      <alignment horizontal="center" wrapText="1"/>
    </xf>
    <xf numFmtId="0" fontId="36" fillId="0" borderId="0" xfId="0" applyFont="1"/>
    <xf numFmtId="0" fontId="23" fillId="0" borderId="0" xfId="254" applyFont="1"/>
    <xf numFmtId="0" fontId="21" fillId="0" borderId="0" xfId="215" applyFont="1" applyAlignment="1">
      <alignment horizontal="left"/>
    </xf>
    <xf numFmtId="173" fontId="16" fillId="0" borderId="14" xfId="89" applyNumberFormat="1" applyFont="1" applyFill="1" applyBorder="1" applyAlignment="1">
      <alignment horizontal="right"/>
    </xf>
    <xf numFmtId="0" fontId="16" fillId="0" borderId="0" xfId="254" applyFont="1" applyAlignment="1">
      <alignment horizontal="center"/>
    </xf>
    <xf numFmtId="0" fontId="9" fillId="0" borderId="0" xfId="215" applyFont="1" applyAlignment="1">
      <alignment horizontal="center"/>
    </xf>
    <xf numFmtId="49" fontId="9" fillId="0" borderId="0" xfId="254" applyNumberFormat="1" applyFont="1" applyAlignment="1">
      <alignment horizontal="center"/>
    </xf>
    <xf numFmtId="0" fontId="0" fillId="0" borderId="0" xfId="0" applyAlignment="1">
      <alignment horizontal="right"/>
    </xf>
    <xf numFmtId="3" fontId="14" fillId="0" borderId="0" xfId="0" applyNumberFormat="1" applyFont="1" applyAlignment="1">
      <alignment horizontal="center"/>
    </xf>
    <xf numFmtId="173" fontId="6" fillId="0" borderId="0" xfId="86" applyNumberFormat="1"/>
    <xf numFmtId="0" fontId="16" fillId="0" borderId="0" xfId="0" applyFont="1" applyAlignment="1">
      <alignment horizontal="center"/>
    </xf>
    <xf numFmtId="173" fontId="16" fillId="0" borderId="0" xfId="86" applyNumberFormat="1" applyFont="1"/>
    <xf numFmtId="10" fontId="16" fillId="0" borderId="0" xfId="0" applyNumberFormat="1" applyFont="1"/>
    <xf numFmtId="173" fontId="6" fillId="0" borderId="0" xfId="86" applyNumberFormat="1" applyFill="1"/>
    <xf numFmtId="10" fontId="0" fillId="0" borderId="0" xfId="0" applyNumberFormat="1"/>
    <xf numFmtId="185" fontId="22" fillId="0" borderId="0" xfId="265" applyNumberFormat="1" applyFont="1"/>
    <xf numFmtId="0" fontId="75" fillId="0" borderId="0" xfId="265" applyFont="1"/>
    <xf numFmtId="185" fontId="22" fillId="0" borderId="0" xfId="265" applyNumberFormat="1" applyFont="1" applyAlignment="1">
      <alignment horizontal="center"/>
    </xf>
    <xf numFmtId="0" fontId="16" fillId="0" borderId="0" xfId="265" applyFont="1"/>
    <xf numFmtId="0" fontId="22" fillId="0" borderId="0" xfId="265" applyFont="1"/>
    <xf numFmtId="0" fontId="22" fillId="0" borderId="0" xfId="265" applyFont="1" applyAlignment="1">
      <alignment horizontal="center"/>
    </xf>
    <xf numFmtId="185" fontId="76" fillId="0" borderId="0" xfId="265" applyNumberFormat="1" applyFont="1"/>
    <xf numFmtId="0" fontId="77" fillId="0" borderId="0" xfId="265" applyFont="1"/>
    <xf numFmtId="173" fontId="75" fillId="0" borderId="0" xfId="265" applyNumberFormat="1" applyFont="1"/>
    <xf numFmtId="0" fontId="78" fillId="0" borderId="0" xfId="265" applyFont="1"/>
    <xf numFmtId="185" fontId="16" fillId="0" borderId="0" xfId="265" applyNumberFormat="1" applyFont="1"/>
    <xf numFmtId="0" fontId="79" fillId="0" borderId="0" xfId="261" applyFont="1" applyAlignment="1">
      <alignment horizontal="center"/>
    </xf>
    <xf numFmtId="0" fontId="79" fillId="0" borderId="0" xfId="261" applyFont="1" applyAlignment="1">
      <alignment horizontal="left" indent="2"/>
    </xf>
    <xf numFmtId="39" fontId="79" fillId="0" borderId="0" xfId="261" applyNumberFormat="1" applyFont="1"/>
    <xf numFmtId="0" fontId="16" fillId="0" borderId="0" xfId="265" applyFont="1" applyAlignment="1">
      <alignment horizontal="center"/>
    </xf>
    <xf numFmtId="185" fontId="9" fillId="0" borderId="0" xfId="265" applyNumberFormat="1" applyFont="1"/>
    <xf numFmtId="43" fontId="9" fillId="0" borderId="0" xfId="86" applyFont="1"/>
    <xf numFmtId="173" fontId="9" fillId="0" borderId="0" xfId="86" applyNumberFormat="1" applyFont="1"/>
    <xf numFmtId="173" fontId="75" fillId="0" borderId="14" xfId="86" applyNumberFormat="1" applyFont="1" applyBorder="1"/>
    <xf numFmtId="0" fontId="75" fillId="0" borderId="0" xfId="0" applyFont="1"/>
    <xf numFmtId="173" fontId="0" fillId="0" borderId="0" xfId="86" applyNumberFormat="1" applyFont="1" applyFill="1"/>
    <xf numFmtId="173" fontId="0" fillId="0" borderId="0" xfId="0" applyNumberFormat="1"/>
    <xf numFmtId="173" fontId="16" fillId="0" borderId="0" xfId="86" applyNumberFormat="1" applyFont="1" applyFill="1"/>
    <xf numFmtId="0" fontId="13" fillId="0" borderId="0" xfId="254" applyFont="1" applyAlignment="1">
      <alignment horizontal="center" wrapText="1"/>
    </xf>
    <xf numFmtId="38" fontId="16" fillId="0" borderId="0" xfId="0" applyNumberFormat="1" applyFont="1" applyAlignment="1">
      <alignment horizontal="center"/>
    </xf>
    <xf numFmtId="0" fontId="6" fillId="0" borderId="0" xfId="254" applyAlignment="1">
      <alignment horizontal="left"/>
    </xf>
    <xf numFmtId="0" fontId="82" fillId="0" borderId="0" xfId="254" applyFont="1" applyAlignment="1">
      <alignment horizontal="left"/>
    </xf>
    <xf numFmtId="0" fontId="6" fillId="0" borderId="0" xfId="254"/>
    <xf numFmtId="0" fontId="82" fillId="0" borderId="0" xfId="254" applyFont="1"/>
    <xf numFmtId="0" fontId="73" fillId="0" borderId="0" xfId="254" applyFont="1" applyAlignment="1">
      <alignment horizontal="center"/>
    </xf>
    <xf numFmtId="38" fontId="16" fillId="0" borderId="15" xfId="0" applyNumberFormat="1" applyFont="1" applyBorder="1"/>
    <xf numFmtId="0" fontId="83" fillId="0" borderId="0" xfId="215" applyFont="1" applyAlignment="1">
      <alignment horizontal="left"/>
    </xf>
    <xf numFmtId="38" fontId="16" fillId="0" borderId="0" xfId="215" applyNumberFormat="1" applyAlignment="1">
      <alignment horizontal="right"/>
    </xf>
    <xf numFmtId="0" fontId="16" fillId="0" borderId="0" xfId="215" applyAlignment="1">
      <alignment horizontal="right"/>
    </xf>
    <xf numFmtId="38" fontId="16" fillId="0" borderId="0" xfId="0" applyNumberFormat="1" applyFont="1" applyAlignment="1">
      <alignment horizontal="right"/>
    </xf>
    <xf numFmtId="0" fontId="8" fillId="0" borderId="0" xfId="0" applyFont="1" applyAlignment="1">
      <alignment horizontal="center"/>
    </xf>
    <xf numFmtId="0" fontId="8" fillId="0" borderId="0" xfId="215" applyFont="1" applyAlignment="1">
      <alignment horizontal="center"/>
    </xf>
    <xf numFmtId="38" fontId="12" fillId="0" borderId="0" xfId="215" applyNumberFormat="1" applyFont="1"/>
    <xf numFmtId="173" fontId="12" fillId="0" borderId="14" xfId="86" applyNumberFormat="1" applyFont="1" applyFill="1" applyBorder="1" applyAlignment="1"/>
    <xf numFmtId="0" fontId="16" fillId="0" borderId="14" xfId="215" applyBorder="1" applyAlignment="1">
      <alignment horizontal="left"/>
    </xf>
    <xf numFmtId="41" fontId="75" fillId="0" borderId="0" xfId="265" applyNumberFormat="1" applyFont="1"/>
    <xf numFmtId="173" fontId="75" fillId="0" borderId="0" xfId="86" applyNumberFormat="1" applyFont="1" applyFill="1"/>
    <xf numFmtId="3" fontId="8" fillId="0" borderId="0" xfId="0" applyNumberFormat="1" applyFont="1" applyAlignment="1">
      <alignment horizontal="center"/>
    </xf>
    <xf numFmtId="10" fontId="16" fillId="0" borderId="0" xfId="273" applyNumberFormat="1" applyFont="1" applyAlignment="1">
      <alignment horizontal="right"/>
    </xf>
    <xf numFmtId="0" fontId="13" fillId="0" borderId="0" xfId="0" applyFont="1" applyAlignment="1">
      <alignment horizontal="center" wrapText="1"/>
    </xf>
    <xf numFmtId="0" fontId="13" fillId="0" borderId="0" xfId="0" applyFont="1" applyAlignment="1">
      <alignment wrapText="1"/>
    </xf>
    <xf numFmtId="10" fontId="12" fillId="0" borderId="0" xfId="273" applyNumberFormat="1" applyFont="1"/>
    <xf numFmtId="174" fontId="6" fillId="0" borderId="0" xfId="119" applyNumberFormat="1"/>
    <xf numFmtId="0" fontId="8" fillId="0" borderId="0" xfId="0" applyFont="1" applyAlignment="1">
      <alignment horizontal="right"/>
    </xf>
    <xf numFmtId="0" fontId="16" fillId="0" borderId="0" xfId="0" applyFont="1" applyAlignment="1">
      <alignment horizontal="centerContinuous"/>
    </xf>
    <xf numFmtId="0" fontId="21" fillId="0" borderId="0" xfId="0" applyFont="1" applyAlignment="1">
      <alignment horizontal="center"/>
    </xf>
    <xf numFmtId="0" fontId="13" fillId="0" borderId="0" xfId="0" applyFont="1" applyAlignment="1">
      <alignment horizontal="center"/>
    </xf>
    <xf numFmtId="170" fontId="0" fillId="0" borderId="0" xfId="0" applyNumberFormat="1" applyAlignment="1">
      <alignment horizontal="right"/>
    </xf>
    <xf numFmtId="0" fontId="0" fillId="0" borderId="0" xfId="0" applyAlignment="1">
      <alignment horizontal="left"/>
    </xf>
    <xf numFmtId="6" fontId="0" fillId="0" borderId="0" xfId="0" applyNumberFormat="1" applyAlignment="1">
      <alignment horizontal="right"/>
    </xf>
    <xf numFmtId="0" fontId="21" fillId="0" borderId="0" xfId="0" applyFont="1" applyAlignment="1">
      <alignment horizontal="left"/>
    </xf>
    <xf numFmtId="0" fontId="8" fillId="0" borderId="0" xfId="0" applyFont="1" applyAlignment="1">
      <alignment horizontal="left"/>
    </xf>
    <xf numFmtId="0" fontId="21" fillId="0" borderId="0" xfId="0" applyFont="1" applyAlignment="1">
      <alignment horizontal="center" wrapText="1"/>
    </xf>
    <xf numFmtId="17" fontId="0" fillId="0" borderId="0" xfId="0" applyNumberFormat="1" applyAlignment="1">
      <alignment horizontal="center"/>
    </xf>
    <xf numFmtId="173" fontId="0" fillId="0" borderId="0" xfId="86" applyNumberFormat="1" applyFont="1"/>
    <xf numFmtId="173" fontId="16" fillId="0" borderId="0" xfId="215" applyNumberFormat="1"/>
    <xf numFmtId="0" fontId="16" fillId="25" borderId="0" xfId="215" applyFill="1" applyAlignment="1">
      <alignment horizontal="center"/>
    </xf>
    <xf numFmtId="0" fontId="13" fillId="25" borderId="0" xfId="215" applyFont="1" applyFill="1" applyAlignment="1">
      <alignment horizontal="left"/>
    </xf>
    <xf numFmtId="0" fontId="12" fillId="25" borderId="0" xfId="215" applyFont="1" applyFill="1"/>
    <xf numFmtId="0" fontId="16" fillId="25" borderId="0" xfId="215" applyFill="1" applyAlignment="1">
      <alignment horizontal="left"/>
    </xf>
    <xf numFmtId="0" fontId="16" fillId="25" borderId="0" xfId="215" applyFill="1"/>
    <xf numFmtId="173" fontId="16" fillId="25" borderId="0" xfId="89" applyNumberFormat="1" applyFont="1" applyFill="1" applyBorder="1" applyAlignment="1">
      <alignment horizontal="right"/>
    </xf>
    <xf numFmtId="0" fontId="0" fillId="25" borderId="0" xfId="0" applyFill="1"/>
    <xf numFmtId="164" fontId="16" fillId="25" borderId="0" xfId="275" applyNumberFormat="1" applyFont="1" applyFill="1" applyBorder="1" applyAlignment="1"/>
    <xf numFmtId="173" fontId="16" fillId="25" borderId="0" xfId="89" applyNumberFormat="1" applyFont="1" applyFill="1" applyBorder="1" applyAlignment="1">
      <alignment horizontal="left"/>
    </xf>
    <xf numFmtId="0" fontId="17" fillId="0" borderId="0" xfId="0" applyFont="1"/>
    <xf numFmtId="0" fontId="21" fillId="0" borderId="0" xfId="215" applyFont="1" applyAlignment="1">
      <alignment horizontal="center"/>
    </xf>
    <xf numFmtId="0" fontId="17" fillId="0" borderId="0" xfId="215" applyFont="1" applyAlignment="1">
      <alignment horizontal="left"/>
    </xf>
    <xf numFmtId="173" fontId="17" fillId="0" borderId="0" xfId="89" applyNumberFormat="1" applyFont="1" applyFill="1" applyBorder="1" applyAlignment="1">
      <alignment horizontal="right"/>
    </xf>
    <xf numFmtId="0" fontId="18" fillId="0" borderId="0" xfId="254" applyFont="1"/>
    <xf numFmtId="0" fontId="85" fillId="0" borderId="0" xfId="254" applyFont="1"/>
    <xf numFmtId="9" fontId="14" fillId="0" borderId="0" xfId="254" quotePrefix="1" applyNumberFormat="1" applyFont="1" applyAlignment="1">
      <alignment horizontal="center"/>
    </xf>
    <xf numFmtId="0" fontId="8" fillId="0" borderId="0" xfId="265" applyFont="1" applyAlignment="1">
      <alignment horizontal="center"/>
    </xf>
    <xf numFmtId="0" fontId="8" fillId="0" borderId="0" xfId="265" applyFont="1"/>
    <xf numFmtId="185" fontId="8" fillId="0" borderId="0" xfId="265" applyNumberFormat="1" applyFont="1" applyAlignment="1">
      <alignment horizontal="center"/>
    </xf>
    <xf numFmtId="0" fontId="13" fillId="0" borderId="0" xfId="265" applyFont="1"/>
    <xf numFmtId="0" fontId="8" fillId="0" borderId="11" xfId="265" applyFont="1" applyBorder="1" applyAlignment="1">
      <alignment horizontal="center"/>
    </xf>
    <xf numFmtId="185" fontId="8" fillId="0" borderId="11" xfId="265" applyNumberFormat="1" applyFont="1" applyBorder="1" applyAlignment="1">
      <alignment horizontal="center"/>
    </xf>
    <xf numFmtId="0" fontId="78" fillId="0" borderId="11" xfId="265" applyFont="1" applyBorder="1" applyAlignment="1">
      <alignment horizontal="center"/>
    </xf>
    <xf numFmtId="0" fontId="13" fillId="0" borderId="0" xfId="265" applyFont="1" applyAlignment="1">
      <alignment horizontal="center"/>
    </xf>
    <xf numFmtId="6" fontId="16" fillId="0" borderId="0" xfId="0" applyNumberFormat="1" applyFont="1" applyAlignment="1">
      <alignment horizontal="right"/>
    </xf>
    <xf numFmtId="0" fontId="13" fillId="0" borderId="0" xfId="0" applyFont="1" applyAlignment="1">
      <alignment horizontal="left"/>
    </xf>
    <xf numFmtId="173" fontId="87" fillId="0" borderId="0" xfId="86" applyNumberFormat="1" applyFont="1" applyFill="1"/>
    <xf numFmtId="173" fontId="75" fillId="0" borderId="0" xfId="86" applyNumberFormat="1" applyFont="1" applyFill="1" applyBorder="1"/>
    <xf numFmtId="0" fontId="91" fillId="0" borderId="0" xfId="0" applyFont="1" applyAlignment="1">
      <alignment horizontal="center"/>
    </xf>
    <xf numFmtId="0" fontId="90" fillId="0" borderId="0" xfId="254" applyFont="1" applyAlignment="1">
      <alignment horizontal="center"/>
    </xf>
    <xf numFmtId="0" fontId="9" fillId="0" borderId="0" xfId="265" applyFont="1"/>
    <xf numFmtId="173" fontId="9" fillId="0" borderId="0" xfId="265" applyNumberFormat="1" applyFont="1"/>
    <xf numFmtId="164" fontId="0" fillId="0" borderId="0" xfId="273" applyNumberFormat="1" applyFont="1"/>
    <xf numFmtId="173" fontId="94" fillId="0" borderId="0" xfId="265" applyNumberFormat="1" applyFont="1"/>
    <xf numFmtId="0" fontId="27" fillId="0" borderId="0" xfId="254" applyFont="1" applyAlignment="1">
      <alignment horizontal="center"/>
    </xf>
    <xf numFmtId="37" fontId="16" fillId="0" borderId="15" xfId="0" applyNumberFormat="1" applyFont="1" applyBorder="1"/>
    <xf numFmtId="37" fontId="16" fillId="0" borderId="0" xfId="215" applyNumberFormat="1" applyAlignment="1">
      <alignment horizontal="right"/>
    </xf>
    <xf numFmtId="37" fontId="12" fillId="0" borderId="0" xfId="215" applyNumberFormat="1" applyFont="1"/>
    <xf numFmtId="0" fontId="97" fillId="0" borderId="0" xfId="254" applyFont="1"/>
    <xf numFmtId="0" fontId="16" fillId="0" borderId="0" xfId="0" applyFont="1" applyAlignment="1">
      <alignment horizontal="center" wrapText="1"/>
    </xf>
    <xf numFmtId="0" fontId="36" fillId="0" borderId="0" xfId="0" applyFont="1" applyAlignment="1">
      <alignment wrapText="1"/>
    </xf>
    <xf numFmtId="0" fontId="36" fillId="0" borderId="0" xfId="0" applyFont="1" applyAlignment="1">
      <alignment horizontal="center" wrapText="1"/>
    </xf>
    <xf numFmtId="173" fontId="0" fillId="0" borderId="14" xfId="0" applyNumberFormat="1" applyBorder="1"/>
    <xf numFmtId="9" fontId="0" fillId="0" borderId="0" xfId="273" applyFont="1"/>
    <xf numFmtId="0" fontId="99" fillId="0" borderId="0" xfId="0" applyFont="1" applyAlignment="1">
      <alignment horizontal="center" wrapText="1"/>
    </xf>
    <xf numFmtId="0" fontId="22" fillId="0" borderId="0" xfId="261" applyFont="1" applyAlignment="1">
      <alignment horizontal="center"/>
    </xf>
    <xf numFmtId="0" fontId="36" fillId="0" borderId="0" xfId="254" applyFont="1" applyAlignment="1">
      <alignment horizontal="left"/>
    </xf>
    <xf numFmtId="0" fontId="36" fillId="0" borderId="0" xfId="254" applyFont="1"/>
    <xf numFmtId="0" fontId="101" fillId="0" borderId="0" xfId="254" applyFont="1" applyAlignment="1">
      <alignment horizontal="center"/>
    </xf>
    <xf numFmtId="0" fontId="102" fillId="0" borderId="0" xfId="254" applyFont="1"/>
    <xf numFmtId="190" fontId="103" fillId="0" borderId="0" xfId="215" applyNumberFormat="1" applyFont="1" applyAlignment="1">
      <alignment horizontal="center"/>
    </xf>
    <xf numFmtId="38" fontId="0" fillId="0" borderId="0" xfId="0" applyNumberFormat="1"/>
    <xf numFmtId="0" fontId="6" fillId="0" borderId="0" xfId="0" applyFont="1"/>
    <xf numFmtId="3" fontId="17" fillId="0" borderId="0" xfId="215" applyNumberFormat="1" applyFont="1" applyAlignment="1">
      <alignment horizontal="center"/>
    </xf>
    <xf numFmtId="43" fontId="9" fillId="0" borderId="0" xfId="86" applyFont="1" applyAlignment="1">
      <alignment horizontal="center"/>
    </xf>
    <xf numFmtId="43" fontId="9" fillId="0" borderId="0" xfId="86" applyFont="1" applyBorder="1" applyAlignment="1">
      <alignment horizontal="center"/>
    </xf>
    <xf numFmtId="43" fontId="8" fillId="0" borderId="0" xfId="86" applyFont="1" applyBorder="1" applyAlignment="1">
      <alignment horizontal="center"/>
    </xf>
    <xf numFmtId="43" fontId="8" fillId="0" borderId="0" xfId="86" applyFont="1" applyAlignment="1">
      <alignment horizontal="center"/>
    </xf>
    <xf numFmtId="43" fontId="19" fillId="0" borderId="0" xfId="86" applyFont="1"/>
    <xf numFmtId="0" fontId="8" fillId="0" borderId="11" xfId="265" applyFont="1" applyBorder="1"/>
    <xf numFmtId="0" fontId="75" fillId="0" borderId="0" xfId="265" applyFont="1" applyAlignment="1">
      <alignment horizontal="center"/>
    </xf>
    <xf numFmtId="173" fontId="81" fillId="0" borderId="0" xfId="265" applyNumberFormat="1" applyFont="1"/>
    <xf numFmtId="3" fontId="81" fillId="0" borderId="0" xfId="265" applyNumberFormat="1" applyFont="1"/>
    <xf numFmtId="0" fontId="26" fillId="0" borderId="0" xfId="254" applyFont="1"/>
    <xf numFmtId="38" fontId="30" fillId="0" borderId="13" xfId="254" applyNumberFormat="1" applyFont="1" applyBorder="1" applyAlignment="1">
      <alignment horizontal="right"/>
    </xf>
    <xf numFmtId="0" fontId="36" fillId="0" borderId="0" xfId="254" applyFont="1" applyAlignment="1">
      <alignment horizontal="center"/>
    </xf>
    <xf numFmtId="0" fontId="79" fillId="0" borderId="0" xfId="265" applyFont="1"/>
    <xf numFmtId="10" fontId="7" fillId="0" borderId="0" xfId="266" applyNumberFormat="1"/>
    <xf numFmtId="10" fontId="7" fillId="0" borderId="16" xfId="266" applyNumberFormat="1" applyBorder="1"/>
    <xf numFmtId="194" fontId="7" fillId="0" borderId="16" xfId="266" applyNumberFormat="1" applyBorder="1"/>
    <xf numFmtId="176" fontId="7" fillId="0" borderId="16" xfId="266" applyNumberFormat="1" applyBorder="1"/>
    <xf numFmtId="193" fontId="7" fillId="0" borderId="16" xfId="266" applyNumberFormat="1" applyBorder="1"/>
    <xf numFmtId="196" fontId="7" fillId="0" borderId="0" xfId="266" applyNumberFormat="1"/>
    <xf numFmtId="176" fontId="7" fillId="0" borderId="0" xfId="266" applyNumberFormat="1"/>
    <xf numFmtId="193" fontId="7" fillId="0" borderId="0" xfId="266" applyNumberFormat="1"/>
    <xf numFmtId="10" fontId="116" fillId="0" borderId="0" xfId="266" applyNumberFormat="1" applyFont="1"/>
    <xf numFmtId="173" fontId="119" fillId="0" borderId="0" xfId="0" applyNumberFormat="1" applyFont="1"/>
    <xf numFmtId="0" fontId="106" fillId="0" borderId="0" xfId="215" applyFont="1" applyAlignment="1">
      <alignment horizontal="center"/>
    </xf>
    <xf numFmtId="0" fontId="99" fillId="0" borderId="0" xfId="215" applyFont="1" applyAlignment="1">
      <alignment horizontal="left"/>
    </xf>
    <xf numFmtId="0" fontId="36" fillId="0" borderId="0" xfId="215" applyFont="1" applyAlignment="1">
      <alignment horizontal="center"/>
    </xf>
    <xf numFmtId="0" fontId="36" fillId="0" borderId="0" xfId="215" applyFont="1" applyAlignment="1">
      <alignment horizontal="left"/>
    </xf>
    <xf numFmtId="0" fontId="36" fillId="0" borderId="0" xfId="215" applyFont="1"/>
    <xf numFmtId="3" fontId="36" fillId="0" borderId="0" xfId="215" applyNumberFormat="1" applyFont="1"/>
    <xf numFmtId="0" fontId="106" fillId="0" borderId="0" xfId="215" applyFont="1"/>
    <xf numFmtId="0" fontId="118" fillId="0" borderId="0" xfId="254" applyFont="1" applyAlignment="1">
      <alignment horizontal="center"/>
    </xf>
    <xf numFmtId="0" fontId="99" fillId="0" borderId="0" xfId="0" applyFont="1" applyAlignment="1">
      <alignment horizontal="center"/>
    </xf>
    <xf numFmtId="41" fontId="0" fillId="0" borderId="0" xfId="0" applyNumberFormat="1"/>
    <xf numFmtId="37" fontId="120" fillId="0" borderId="13" xfId="0" applyNumberFormat="1" applyFont="1" applyBorder="1"/>
    <xf numFmtId="0" fontId="30" fillId="0" borderId="0" xfId="0" applyFont="1" applyAlignment="1">
      <alignment horizontal="left"/>
    </xf>
    <xf numFmtId="41" fontId="30" fillId="0" borderId="11" xfId="254" applyNumberFormat="1" applyFont="1" applyBorder="1"/>
    <xf numFmtId="3" fontId="23" fillId="30" borderId="0" xfId="0" applyNumberFormat="1" applyFont="1" applyFill="1"/>
    <xf numFmtId="173" fontId="81" fillId="30" borderId="0" xfId="265" applyNumberFormat="1" applyFont="1" applyFill="1"/>
    <xf numFmtId="0" fontId="75" fillId="30" borderId="0" xfId="265" applyFont="1" applyFill="1" applyAlignment="1">
      <alignment horizontal="center"/>
    </xf>
    <xf numFmtId="174" fontId="0" fillId="0" borderId="0" xfId="119" applyNumberFormat="1" applyFont="1"/>
    <xf numFmtId="3" fontId="36" fillId="30" borderId="0" xfId="215" applyNumberFormat="1" applyFont="1" applyFill="1"/>
    <xf numFmtId="174" fontId="0" fillId="0" borderId="0" xfId="0" applyNumberFormat="1"/>
    <xf numFmtId="0" fontId="75" fillId="30" borderId="0" xfId="265" applyFont="1" applyFill="1"/>
    <xf numFmtId="172" fontId="7" fillId="0" borderId="0" xfId="264" applyProtection="1"/>
    <xf numFmtId="172" fontId="9" fillId="0" borderId="0" xfId="264" applyFont="1" applyProtection="1"/>
    <xf numFmtId="0" fontId="10" fillId="0" borderId="0" xfId="264" applyNumberFormat="1" applyFont="1" applyAlignment="1" applyProtection="1">
      <alignment horizontal="left"/>
    </xf>
    <xf numFmtId="14" fontId="10" fillId="0" borderId="0" xfId="264" applyNumberFormat="1" applyFont="1" applyProtection="1"/>
    <xf numFmtId="172" fontId="10" fillId="0" borderId="0" xfId="264" applyFont="1" applyProtection="1"/>
    <xf numFmtId="0" fontId="9" fillId="0" borderId="0" xfId="264" applyNumberFormat="1" applyFont="1" applyProtection="1"/>
    <xf numFmtId="0" fontId="9" fillId="0" borderId="0" xfId="264" applyNumberFormat="1" applyFont="1" applyAlignment="1" applyProtection="1">
      <alignment horizontal="right"/>
    </xf>
    <xf numFmtId="0" fontId="23" fillId="0" borderId="0" xfId="86" applyNumberFormat="1" applyFont="1" applyFill="1" applyAlignment="1" applyProtection="1"/>
    <xf numFmtId="3" fontId="9" fillId="0" borderId="0" xfId="264" applyNumberFormat="1" applyFont="1" applyProtection="1"/>
    <xf numFmtId="0" fontId="7" fillId="0" borderId="0" xfId="264" applyNumberFormat="1" applyAlignment="1" applyProtection="1">
      <alignment horizontal="center"/>
    </xf>
    <xf numFmtId="0" fontId="9" fillId="0" borderId="0" xfId="264" applyNumberFormat="1" applyFont="1" applyAlignment="1" applyProtection="1">
      <alignment horizontal="center"/>
    </xf>
    <xf numFmtId="49" fontId="9" fillId="0" borderId="0" xfId="264" applyNumberFormat="1" applyFont="1" applyAlignment="1" applyProtection="1">
      <alignment horizontal="center"/>
    </xf>
    <xf numFmtId="3" fontId="25" fillId="0" borderId="0" xfId="0" applyNumberFormat="1" applyFont="1" applyAlignment="1">
      <alignment horizontal="center"/>
    </xf>
    <xf numFmtId="49" fontId="9" fillId="0" borderId="0" xfId="264" applyNumberFormat="1" applyFont="1" applyProtection="1"/>
    <xf numFmtId="39" fontId="9" fillId="0" borderId="0" xfId="86" applyNumberFormat="1" applyFont="1" applyAlignment="1" applyProtection="1">
      <alignment horizontal="center"/>
    </xf>
    <xf numFmtId="0" fontId="7" fillId="0" borderId="6" xfId="264" applyNumberFormat="1" applyBorder="1" applyAlignment="1" applyProtection="1">
      <alignment horizontal="center"/>
    </xf>
    <xf numFmtId="0" fontId="9" fillId="0" borderId="6" xfId="264" applyNumberFormat="1" applyFont="1" applyBorder="1" applyAlignment="1" applyProtection="1">
      <alignment horizontal="center"/>
    </xf>
    <xf numFmtId="0" fontId="9" fillId="0" borderId="0" xfId="264" applyNumberFormat="1" applyFont="1" applyAlignment="1" applyProtection="1">
      <alignment horizontal="left"/>
    </xf>
    <xf numFmtId="170" fontId="9" fillId="0" borderId="0" xfId="264" applyNumberFormat="1" applyFont="1" applyProtection="1"/>
    <xf numFmtId="3" fontId="9" fillId="0" borderId="0" xfId="264" applyNumberFormat="1" applyFont="1" applyAlignment="1" applyProtection="1">
      <alignment horizontal="left"/>
    </xf>
    <xf numFmtId="0" fontId="9" fillId="0" borderId="6" xfId="264" applyNumberFormat="1" applyFont="1" applyBorder="1" applyAlignment="1" applyProtection="1">
      <alignment horizontal="centerContinuous"/>
    </xf>
    <xf numFmtId="41" fontId="9" fillId="0" borderId="0" xfId="264" applyNumberFormat="1" applyFont="1" applyProtection="1"/>
    <xf numFmtId="3" fontId="9" fillId="0" borderId="0" xfId="264" applyNumberFormat="1" applyFont="1" applyAlignment="1" applyProtection="1">
      <alignment horizontal="center"/>
    </xf>
    <xf numFmtId="165" fontId="9" fillId="0" borderId="0" xfId="264" applyNumberFormat="1" applyFont="1" applyAlignment="1" applyProtection="1">
      <alignment horizontal="right"/>
    </xf>
    <xf numFmtId="42" fontId="9" fillId="0" borderId="0" xfId="264" applyNumberFormat="1" applyFont="1" applyProtection="1"/>
    <xf numFmtId="172" fontId="9" fillId="0" borderId="11" xfId="264" applyFont="1" applyBorder="1" applyProtection="1"/>
    <xf numFmtId="0" fontId="9" fillId="0" borderId="0" xfId="0" applyFont="1" applyAlignment="1">
      <alignment wrapText="1"/>
    </xf>
    <xf numFmtId="174" fontId="9" fillId="0" borderId="14" xfId="264" applyNumberFormat="1" applyFont="1" applyBorder="1" applyProtection="1"/>
    <xf numFmtId="172" fontId="80" fillId="0" borderId="0" xfId="264" applyFont="1" applyAlignment="1" applyProtection="1">
      <alignment horizontal="center" wrapText="1"/>
    </xf>
    <xf numFmtId="43" fontId="9" fillId="0" borderId="0" xfId="86" applyFont="1" applyProtection="1"/>
    <xf numFmtId="171" fontId="9" fillId="0" borderId="0" xfId="264" applyNumberFormat="1" applyFont="1" applyProtection="1"/>
    <xf numFmtId="10" fontId="9" fillId="0" borderId="0" xfId="264" applyNumberFormat="1" applyFont="1" applyProtection="1"/>
    <xf numFmtId="10" fontId="9" fillId="0" borderId="0" xfId="273" applyNumberFormat="1" applyFont="1" applyAlignment="1" applyProtection="1"/>
    <xf numFmtId="186" fontId="9" fillId="0" borderId="0" xfId="264" applyNumberFormat="1" applyFont="1" applyProtection="1"/>
    <xf numFmtId="43" fontId="9" fillId="0" borderId="0" xfId="86" applyFont="1" applyAlignment="1" applyProtection="1"/>
    <xf numFmtId="41" fontId="9" fillId="0" borderId="0" xfId="264" applyNumberFormat="1" applyFont="1" applyAlignment="1" applyProtection="1">
      <alignment horizontal="center"/>
    </xf>
    <xf numFmtId="41" fontId="9" fillId="0" borderId="14" xfId="264" applyNumberFormat="1" applyFont="1" applyBorder="1" applyAlignment="1" applyProtection="1">
      <alignment horizontal="center"/>
    </xf>
    <xf numFmtId="41" fontId="9" fillId="0" borderId="0" xfId="264" applyNumberFormat="1" applyFont="1" applyAlignment="1" applyProtection="1">
      <alignment horizontal="right"/>
    </xf>
    <xf numFmtId="42" fontId="9" fillId="0" borderId="0" xfId="273" applyNumberFormat="1" applyFont="1" applyAlignment="1" applyProtection="1"/>
    <xf numFmtId="43" fontId="9" fillId="0" borderId="0" xfId="264" applyNumberFormat="1" applyFont="1" applyAlignment="1" applyProtection="1">
      <alignment horizontal="right"/>
    </xf>
    <xf numFmtId="172" fontId="9" fillId="0" borderId="0" xfId="264" applyFont="1" applyAlignment="1" applyProtection="1">
      <alignment horizontal="right"/>
    </xf>
    <xf numFmtId="0" fontId="36" fillId="0" borderId="0" xfId="0" applyFont="1" applyAlignment="1">
      <alignment horizontal="center"/>
    </xf>
    <xf numFmtId="49" fontId="9" fillId="0" borderId="0" xfId="264" applyNumberFormat="1" applyFont="1" applyAlignment="1" applyProtection="1">
      <alignment horizontal="left"/>
    </xf>
    <xf numFmtId="0" fontId="7" fillId="0" borderId="0" xfId="264" applyNumberFormat="1" applyAlignment="1" applyProtection="1">
      <alignment horizontal="center" vertical="center"/>
    </xf>
    <xf numFmtId="3" fontId="10" fillId="0" borderId="0" xfId="264" applyNumberFormat="1" applyFont="1" applyAlignment="1" applyProtection="1">
      <alignment horizontal="center"/>
    </xf>
    <xf numFmtId="172" fontId="10" fillId="0" borderId="0" xfId="264" applyFont="1" applyAlignment="1" applyProtection="1">
      <alignment horizontal="center"/>
    </xf>
    <xf numFmtId="49" fontId="10" fillId="0" borderId="0" xfId="264" applyNumberFormat="1" applyFont="1" applyAlignment="1" applyProtection="1">
      <alignment horizontal="center"/>
    </xf>
    <xf numFmtId="0" fontId="14" fillId="0" borderId="0" xfId="264" applyNumberFormat="1" applyFont="1" applyAlignment="1" applyProtection="1">
      <alignment horizontal="center"/>
    </xf>
    <xf numFmtId="172" fontId="14" fillId="0" borderId="0" xfId="264" applyFont="1" applyAlignment="1" applyProtection="1">
      <alignment horizontal="center"/>
    </xf>
    <xf numFmtId="3" fontId="10" fillId="0" borderId="0" xfId="264" applyNumberFormat="1" applyFont="1" applyProtection="1"/>
    <xf numFmtId="173" fontId="9" fillId="0" borderId="0" xfId="86" applyNumberFormat="1" applyFont="1" applyFill="1" applyAlignment="1" applyProtection="1"/>
    <xf numFmtId="0" fontId="9" fillId="0" borderId="0" xfId="264" applyNumberFormat="1" applyFont="1" applyAlignment="1" applyProtection="1">
      <alignment vertical="center"/>
    </xf>
    <xf numFmtId="3" fontId="9" fillId="0" borderId="0" xfId="264" applyNumberFormat="1" applyFont="1" applyAlignment="1" applyProtection="1">
      <alignment vertical="center" wrapText="1"/>
    </xf>
    <xf numFmtId="3" fontId="9" fillId="0" borderId="0" xfId="264" applyNumberFormat="1" applyFont="1" applyAlignment="1" applyProtection="1">
      <alignment horizontal="center" vertical="center"/>
    </xf>
    <xf numFmtId="3" fontId="9" fillId="0" borderId="0" xfId="264" applyNumberFormat="1" applyFont="1" applyAlignment="1" applyProtection="1">
      <alignment vertical="center"/>
    </xf>
    <xf numFmtId="41" fontId="9" fillId="0" borderId="0" xfId="264" applyNumberFormat="1" applyFont="1" applyAlignment="1" applyProtection="1">
      <alignment vertical="center"/>
    </xf>
    <xf numFmtId="41" fontId="9" fillId="0" borderId="6" xfId="264" applyNumberFormat="1" applyFont="1" applyBorder="1" applyProtection="1"/>
    <xf numFmtId="178" fontId="10" fillId="0" borderId="0" xfId="264" applyNumberFormat="1" applyFont="1" applyAlignment="1" applyProtection="1">
      <alignment horizontal="right"/>
    </xf>
    <xf numFmtId="182" fontId="10" fillId="0" borderId="0" xfId="86" applyNumberFormat="1" applyFont="1" applyFill="1" applyAlignment="1" applyProtection="1"/>
    <xf numFmtId="178" fontId="9" fillId="0" borderId="0" xfId="264" applyNumberFormat="1" applyFont="1" applyProtection="1"/>
    <xf numFmtId="184" fontId="9" fillId="0" borderId="0" xfId="264" applyNumberFormat="1" applyFont="1" applyProtection="1"/>
    <xf numFmtId="183" fontId="9" fillId="0" borderId="0" xfId="264" applyNumberFormat="1" applyFont="1" applyProtection="1"/>
    <xf numFmtId="165" fontId="9" fillId="0" borderId="0" xfId="264" applyNumberFormat="1" applyFont="1" applyProtection="1"/>
    <xf numFmtId="0" fontId="9" fillId="0" borderId="0" xfId="264" applyNumberFormat="1" applyFont="1" applyAlignment="1" applyProtection="1">
      <alignment horizontal="center" vertical="center"/>
    </xf>
    <xf numFmtId="164" fontId="9" fillId="0" borderId="0" xfId="264" applyNumberFormat="1" applyFont="1" applyAlignment="1" applyProtection="1">
      <alignment horizontal="center"/>
    </xf>
    <xf numFmtId="177" fontId="9" fillId="0" borderId="0" xfId="86" applyNumberFormat="1" applyFont="1" applyFill="1" applyAlignment="1" applyProtection="1">
      <alignment horizontal="center"/>
    </xf>
    <xf numFmtId="3" fontId="10" fillId="0" borderId="0" xfId="264" applyNumberFormat="1" applyFont="1" applyAlignment="1" applyProtection="1">
      <alignment horizontal="right"/>
    </xf>
    <xf numFmtId="182" fontId="9" fillId="0" borderId="0" xfId="86" applyNumberFormat="1" applyFont="1" applyFill="1" applyAlignment="1" applyProtection="1"/>
    <xf numFmtId="164" fontId="9" fillId="0" borderId="0" xfId="264" applyNumberFormat="1" applyFont="1" applyAlignment="1" applyProtection="1">
      <alignment horizontal="left"/>
    </xf>
    <xf numFmtId="10" fontId="9" fillId="0" borderId="0" xfId="273" applyNumberFormat="1" applyFont="1" applyFill="1" applyAlignment="1" applyProtection="1"/>
    <xf numFmtId="175" fontId="9" fillId="0" borderId="0" xfId="264" applyNumberFormat="1" applyFont="1" applyProtection="1"/>
    <xf numFmtId="41" fontId="9" fillId="0" borderId="0" xfId="264" applyNumberFormat="1" applyFont="1" applyAlignment="1" applyProtection="1">
      <alignment horizontal="center" vertical="center"/>
    </xf>
    <xf numFmtId="0" fontId="89" fillId="0" borderId="0" xfId="264" applyNumberFormat="1" applyFont="1" applyAlignment="1" applyProtection="1">
      <alignment horizontal="center"/>
    </xf>
    <xf numFmtId="3" fontId="9" fillId="0" borderId="0" xfId="264" applyNumberFormat="1" applyFont="1" applyAlignment="1" applyProtection="1">
      <alignment horizontal="right"/>
    </xf>
    <xf numFmtId="172" fontId="9" fillId="0" borderId="0" xfId="264" applyFont="1" applyAlignment="1" applyProtection="1">
      <alignment horizontal="center"/>
    </xf>
    <xf numFmtId="0" fontId="10" fillId="0" borderId="0" xfId="264" applyNumberFormat="1" applyFont="1" applyAlignment="1" applyProtection="1">
      <alignment horizontal="center"/>
    </xf>
    <xf numFmtId="3" fontId="14" fillId="0" borderId="0" xfId="264" applyNumberFormat="1" applyFont="1" applyAlignment="1" applyProtection="1">
      <alignment horizontal="center"/>
    </xf>
    <xf numFmtId="3" fontId="14" fillId="0" borderId="0" xfId="264" applyNumberFormat="1" applyFont="1" applyProtection="1"/>
    <xf numFmtId="43" fontId="16" fillId="0" borderId="0" xfId="86" applyFont="1" applyAlignment="1" applyProtection="1"/>
    <xf numFmtId="3" fontId="98" fillId="0" borderId="0" xfId="264" applyNumberFormat="1" applyFont="1" applyAlignment="1" applyProtection="1">
      <alignment horizontal="right"/>
    </xf>
    <xf numFmtId="41" fontId="98" fillId="0" borderId="0" xfId="264" applyNumberFormat="1" applyFont="1" applyAlignment="1" applyProtection="1">
      <alignment horizontal="right"/>
    </xf>
    <xf numFmtId="43" fontId="9" fillId="0" borderId="0" xfId="273" applyNumberFormat="1" applyFont="1" applyFill="1" applyAlignment="1" applyProtection="1"/>
    <xf numFmtId="166" fontId="9" fillId="0" borderId="0" xfId="264" applyNumberFormat="1" applyFont="1" applyProtection="1"/>
    <xf numFmtId="167" fontId="9" fillId="0" borderId="0" xfId="264" applyNumberFormat="1" applyFont="1" applyProtection="1"/>
    <xf numFmtId="172" fontId="27" fillId="0" borderId="0" xfId="264" applyFont="1" applyProtection="1"/>
    <xf numFmtId="168" fontId="9" fillId="0" borderId="0" xfId="264" applyNumberFormat="1" applyFont="1" applyProtection="1"/>
    <xf numFmtId="10" fontId="9" fillId="0" borderId="0" xfId="264" applyNumberFormat="1" applyFont="1" applyAlignment="1" applyProtection="1">
      <alignment horizontal="right"/>
    </xf>
    <xf numFmtId="10" fontId="36" fillId="0" borderId="0" xfId="273" applyNumberFormat="1" applyFont="1" applyProtection="1"/>
    <xf numFmtId="3" fontId="27" fillId="0" borderId="0" xfId="264" applyNumberFormat="1" applyFont="1" applyProtection="1"/>
    <xf numFmtId="166" fontId="9" fillId="0" borderId="0" xfId="264" applyNumberFormat="1" applyFont="1" applyAlignment="1" applyProtection="1">
      <alignment horizontal="center"/>
    </xf>
    <xf numFmtId="188" fontId="27" fillId="0" borderId="0" xfId="264" applyNumberFormat="1" applyFont="1" applyAlignment="1" applyProtection="1">
      <alignment horizontal="center"/>
    </xf>
    <xf numFmtId="189" fontId="9" fillId="0" borderId="0" xfId="264" applyNumberFormat="1" applyFont="1" applyProtection="1"/>
    <xf numFmtId="179" fontId="9" fillId="0" borderId="0" xfId="264" applyNumberFormat="1" applyFont="1" applyAlignment="1" applyProtection="1">
      <alignment horizontal="right"/>
    </xf>
    <xf numFmtId="186" fontId="9" fillId="0" borderId="0" xfId="86" applyNumberFormat="1" applyFont="1" applyAlignment="1" applyProtection="1">
      <alignment horizontal="center"/>
    </xf>
    <xf numFmtId="41" fontId="27" fillId="0" borderId="0" xfId="264" applyNumberFormat="1" applyFont="1" applyProtection="1"/>
    <xf numFmtId="43" fontId="27" fillId="0" borderId="0" xfId="86" applyFont="1" applyAlignment="1" applyProtection="1"/>
    <xf numFmtId="179" fontId="9" fillId="0" borderId="0" xfId="264" applyNumberFormat="1" applyFont="1" applyAlignment="1" applyProtection="1">
      <alignment horizontal="center"/>
    </xf>
    <xf numFmtId="10" fontId="9" fillId="0" borderId="0" xfId="264" applyNumberFormat="1" applyFont="1" applyAlignment="1" applyProtection="1">
      <alignment horizontal="left"/>
    </xf>
    <xf numFmtId="188" fontId="9" fillId="0" borderId="0" xfId="264" applyNumberFormat="1" applyFont="1" applyAlignment="1" applyProtection="1">
      <alignment horizontal="center"/>
    </xf>
    <xf numFmtId="168" fontId="9" fillId="0" borderId="0" xfId="264" applyNumberFormat="1" applyFont="1" applyAlignment="1" applyProtection="1">
      <alignment horizontal="left"/>
    </xf>
    <xf numFmtId="41" fontId="9" fillId="0" borderId="11" xfId="264" applyNumberFormat="1" applyFont="1" applyBorder="1" applyProtection="1"/>
    <xf numFmtId="179" fontId="9" fillId="0" borderId="0" xfId="264" applyNumberFormat="1" applyFont="1" applyProtection="1"/>
    <xf numFmtId="164" fontId="9" fillId="0" borderId="0" xfId="264" applyNumberFormat="1" applyFont="1" applyAlignment="1" applyProtection="1">
      <alignment horizontal="left" vertical="center"/>
    </xf>
    <xf numFmtId="180" fontId="9" fillId="0" borderId="0" xfId="264" applyNumberFormat="1" applyFont="1" applyProtection="1"/>
    <xf numFmtId="173" fontId="9" fillId="0" borderId="14" xfId="86" applyNumberFormat="1" applyFont="1" applyBorder="1" applyAlignment="1" applyProtection="1"/>
    <xf numFmtId="0" fontId="10" fillId="0" borderId="0" xfId="264" applyNumberFormat="1" applyFont="1" applyProtection="1"/>
    <xf numFmtId="0" fontId="9" fillId="0" borderId="0" xfId="0" applyFont="1" applyAlignment="1">
      <alignment horizontal="left"/>
    </xf>
    <xf numFmtId="173" fontId="9" fillId="0" borderId="6" xfId="86" applyNumberFormat="1" applyFont="1" applyBorder="1" applyAlignment="1" applyProtection="1"/>
    <xf numFmtId="165" fontId="10" fillId="0" borderId="0" xfId="264" applyNumberFormat="1" applyFont="1" applyAlignment="1" applyProtection="1">
      <alignment horizontal="right"/>
    </xf>
    <xf numFmtId="3" fontId="9" fillId="0" borderId="0" xfId="264" applyNumberFormat="1" applyFont="1" applyAlignment="1" applyProtection="1">
      <alignment horizontal="center" wrapText="1"/>
    </xf>
    <xf numFmtId="4" fontId="9" fillId="0" borderId="0" xfId="264" applyNumberFormat="1" applyFont="1" applyProtection="1"/>
    <xf numFmtId="173" fontId="9" fillId="0" borderId="6" xfId="86" applyNumberFormat="1" applyFont="1" applyFill="1" applyBorder="1" applyAlignment="1" applyProtection="1"/>
    <xf numFmtId="172" fontId="10" fillId="0" borderId="0" xfId="264" applyFont="1" applyAlignment="1" applyProtection="1">
      <alignment horizontal="right"/>
    </xf>
    <xf numFmtId="165" fontId="10" fillId="0" borderId="0" xfId="264" applyNumberFormat="1" applyFont="1" applyProtection="1"/>
    <xf numFmtId="166" fontId="10" fillId="0" borderId="0" xfId="264" applyNumberFormat="1" applyFont="1" applyProtection="1"/>
    <xf numFmtId="3" fontId="9" fillId="0" borderId="6" xfId="264" applyNumberFormat="1" applyFont="1" applyBorder="1" applyAlignment="1" applyProtection="1">
      <alignment horizontal="center"/>
    </xf>
    <xf numFmtId="0" fontId="18" fillId="0" borderId="0" xfId="264" applyNumberFormat="1" applyFont="1" applyAlignment="1" applyProtection="1">
      <alignment horizontal="left"/>
    </xf>
    <xf numFmtId="182" fontId="9" fillId="0" borderId="0" xfId="86" applyNumberFormat="1" applyFont="1" applyFill="1" applyAlignment="1" applyProtection="1">
      <alignment horizontal="center"/>
    </xf>
    <xf numFmtId="182" fontId="9" fillId="0" borderId="6" xfId="86" applyNumberFormat="1" applyFont="1" applyFill="1" applyBorder="1" applyAlignment="1" applyProtection="1">
      <alignment horizontal="center"/>
    </xf>
    <xf numFmtId="186" fontId="9" fillId="0" borderId="0" xfId="86" applyNumberFormat="1" applyFont="1" applyFill="1" applyAlignment="1" applyProtection="1"/>
    <xf numFmtId="169" fontId="9" fillId="0" borderId="15" xfId="264" applyNumberFormat="1" applyFont="1" applyBorder="1" applyProtection="1"/>
    <xf numFmtId="3" fontId="9" fillId="0" borderId="0" xfId="264" quotePrefix="1" applyNumberFormat="1" applyFont="1" applyProtection="1"/>
    <xf numFmtId="169" fontId="9" fillId="0" borderId="0" xfId="264" applyNumberFormat="1" applyFont="1" applyProtection="1"/>
    <xf numFmtId="169" fontId="9" fillId="0" borderId="6" xfId="264" applyNumberFormat="1" applyFont="1" applyBorder="1" applyProtection="1"/>
    <xf numFmtId="182" fontId="26" fillId="0" borderId="0" xfId="86" applyNumberFormat="1" applyFont="1" applyFill="1" applyProtection="1"/>
    <xf numFmtId="169" fontId="10" fillId="0" borderId="0" xfId="264" applyNumberFormat="1" applyFont="1" applyProtection="1"/>
    <xf numFmtId="3" fontId="10" fillId="0" borderId="0" xfId="264" quotePrefix="1" applyNumberFormat="1" applyFont="1" applyProtection="1"/>
    <xf numFmtId="172" fontId="7" fillId="0" borderId="0" xfId="264" applyAlignment="1" applyProtection="1">
      <alignment horizontal="center"/>
    </xf>
    <xf numFmtId="0" fontId="30" fillId="0" borderId="0" xfId="264" applyNumberFormat="1" applyFont="1" applyProtection="1"/>
    <xf numFmtId="0" fontId="118" fillId="0" borderId="0" xfId="264" applyNumberFormat="1" applyFont="1" applyProtection="1"/>
    <xf numFmtId="172" fontId="30" fillId="0" borderId="0" xfId="264" applyFont="1" applyProtection="1"/>
    <xf numFmtId="0" fontId="30" fillId="0" borderId="0" xfId="0" applyFont="1" applyAlignment="1">
      <alignment vertical="top" wrapText="1"/>
    </xf>
    <xf numFmtId="172" fontId="30" fillId="0" borderId="0" xfId="264" applyFont="1" applyAlignment="1" applyProtection="1">
      <alignment wrapText="1"/>
    </xf>
    <xf numFmtId="172" fontId="118" fillId="0" borderId="0" xfId="264" applyFont="1" applyProtection="1"/>
    <xf numFmtId="0" fontId="7" fillId="0" borderId="0" xfId="264" applyNumberFormat="1" applyProtection="1"/>
    <xf numFmtId="0" fontId="88" fillId="0" borderId="0" xfId="264" applyNumberFormat="1" applyFont="1" applyAlignment="1" applyProtection="1">
      <alignment horizontal="center"/>
    </xf>
    <xf numFmtId="174" fontId="0" fillId="0" borderId="0" xfId="86" applyNumberFormat="1" applyFont="1" applyFill="1" applyProtection="1"/>
    <xf numFmtId="173" fontId="0" fillId="0" borderId="13" xfId="0" applyNumberFormat="1" applyBorder="1"/>
    <xf numFmtId="43" fontId="0" fillId="0" borderId="0" xfId="0" applyNumberFormat="1"/>
    <xf numFmtId="0" fontId="7" fillId="0" borderId="0" xfId="0" applyFont="1"/>
    <xf numFmtId="0" fontId="7" fillId="0" borderId="0" xfId="268" applyFont="1"/>
    <xf numFmtId="0" fontId="7" fillId="0" borderId="0" xfId="268" applyFont="1" applyAlignment="1">
      <alignment horizontal="right"/>
    </xf>
    <xf numFmtId="0" fontId="14" fillId="0" borderId="0" xfId="268" applyFont="1" applyAlignment="1">
      <alignment horizontal="center"/>
    </xf>
    <xf numFmtId="0" fontId="9" fillId="0" borderId="0" xfId="268" applyFont="1"/>
    <xf numFmtId="0" fontId="84" fillId="0" borderId="0" xfId="268" applyFont="1"/>
    <xf numFmtId="0" fontId="30" fillId="0" borderId="0" xfId="0" applyFont="1" applyAlignment="1">
      <alignment horizontal="center"/>
    </xf>
    <xf numFmtId="0" fontId="7" fillId="0" borderId="0" xfId="0" applyFont="1" applyAlignment="1">
      <alignment horizontal="right"/>
    </xf>
    <xf numFmtId="0" fontId="10" fillId="0" borderId="0" xfId="268" applyFont="1"/>
    <xf numFmtId="0" fontId="30" fillId="0" borderId="0" xfId="268" applyFont="1" applyAlignment="1">
      <alignment horizontal="center"/>
    </xf>
    <xf numFmtId="0" fontId="13" fillId="0" borderId="0" xfId="268" applyFont="1" applyAlignment="1">
      <alignment horizontal="center"/>
    </xf>
    <xf numFmtId="0" fontId="13" fillId="0" borderId="0" xfId="268" applyFont="1"/>
    <xf numFmtId="0" fontId="16" fillId="0" borderId="0" xfId="268" applyFont="1"/>
    <xf numFmtId="173" fontId="16" fillId="0" borderId="0" xfId="268" applyNumberFormat="1" applyFont="1"/>
    <xf numFmtId="0" fontId="107" fillId="0" borderId="0" xfId="0" applyFont="1"/>
    <xf numFmtId="0" fontId="99" fillId="0" borderId="0" xfId="268" applyFont="1" applyAlignment="1">
      <alignment horizontal="center"/>
    </xf>
    <xf numFmtId="0" fontId="99" fillId="0" borderId="0" xfId="268" applyFont="1"/>
    <xf numFmtId="0" fontId="106" fillId="0" borderId="0" xfId="0" applyFont="1"/>
    <xf numFmtId="0" fontId="106" fillId="0" borderId="0" xfId="268" applyFont="1"/>
    <xf numFmtId="172" fontId="16" fillId="0" borderId="0" xfId="268" applyNumberFormat="1" applyFont="1" applyAlignment="1">
      <alignment horizontal="center"/>
    </xf>
    <xf numFmtId="43" fontId="16" fillId="0" borderId="0" xfId="117" applyFont="1" applyFill="1" applyProtection="1"/>
    <xf numFmtId="43" fontId="106" fillId="0" borderId="0" xfId="117" applyFont="1" applyFill="1" applyProtection="1"/>
    <xf numFmtId="185" fontId="16" fillId="0" borderId="0" xfId="0" applyNumberFormat="1" applyFont="1"/>
    <xf numFmtId="173" fontId="16" fillId="0" borderId="13" xfId="0" applyNumberFormat="1" applyFont="1" applyBorder="1"/>
    <xf numFmtId="173" fontId="16" fillId="0" borderId="13" xfId="268" applyNumberFormat="1" applyFont="1" applyBorder="1"/>
    <xf numFmtId="173" fontId="9" fillId="0" borderId="0" xfId="268" applyNumberFormat="1" applyFont="1"/>
    <xf numFmtId="0" fontId="16" fillId="0" borderId="0" xfId="0" applyFont="1" applyAlignment="1">
      <alignment vertical="top" wrapText="1"/>
    </xf>
    <xf numFmtId="0" fontId="10" fillId="0" borderId="0" xfId="0" applyFont="1" applyAlignment="1">
      <alignment horizontal="center"/>
    </xf>
    <xf numFmtId="173" fontId="10" fillId="0" borderId="0" xfId="0" applyNumberFormat="1" applyFont="1" applyAlignment="1">
      <alignment horizontal="center"/>
    </xf>
    <xf numFmtId="173" fontId="6" fillId="0" borderId="0" xfId="86" applyNumberFormat="1" applyProtection="1"/>
    <xf numFmtId="0" fontId="15" fillId="0" borderId="0" xfId="0" applyFont="1"/>
    <xf numFmtId="0" fontId="22" fillId="0" borderId="0" xfId="0" applyFont="1" applyAlignment="1">
      <alignment horizontal="left"/>
    </xf>
    <xf numFmtId="0" fontId="70" fillId="0" borderId="0" xfId="0" applyFont="1"/>
    <xf numFmtId="0" fontId="10" fillId="0" borderId="0" xfId="0" applyFont="1" applyAlignment="1">
      <alignment horizontal="left"/>
    </xf>
    <xf numFmtId="0" fontId="16" fillId="0" borderId="0" xfId="264" applyNumberFormat="1" applyFont="1" applyProtection="1"/>
    <xf numFmtId="3" fontId="16" fillId="0" borderId="0" xfId="264" applyNumberFormat="1" applyFont="1" applyProtection="1"/>
    <xf numFmtId="10" fontId="6" fillId="0" borderId="0" xfId="273" applyNumberFormat="1" applyAlignment="1" applyProtection="1">
      <alignment horizontal="right"/>
    </xf>
    <xf numFmtId="172" fontId="16" fillId="0" borderId="0" xfId="264" applyFont="1" applyProtection="1"/>
    <xf numFmtId="10" fontId="16" fillId="0" borderId="0" xfId="273" applyNumberFormat="1" applyFont="1" applyFill="1" applyAlignment="1" applyProtection="1">
      <alignment horizontal="right"/>
    </xf>
    <xf numFmtId="3" fontId="13" fillId="0" borderId="0" xfId="264" applyNumberFormat="1" applyFont="1" applyProtection="1"/>
    <xf numFmtId="10" fontId="16" fillId="0" borderId="0" xfId="264" applyNumberFormat="1" applyFont="1" applyAlignment="1" applyProtection="1">
      <alignment horizontal="right"/>
    </xf>
    <xf numFmtId="3" fontId="17" fillId="0" borderId="0" xfId="264" applyNumberFormat="1" applyFont="1" applyAlignment="1" applyProtection="1">
      <alignment horizontal="center"/>
    </xf>
    <xf numFmtId="10" fontId="17" fillId="0" borderId="0" xfId="264" applyNumberFormat="1" applyFont="1" applyAlignment="1" applyProtection="1">
      <alignment horizontal="center"/>
    </xf>
    <xf numFmtId="0" fontId="16" fillId="0" borderId="0" xfId="264" applyNumberFormat="1" applyFont="1" applyAlignment="1" applyProtection="1">
      <alignment horizontal="right"/>
    </xf>
    <xf numFmtId="10" fontId="0" fillId="0" borderId="0" xfId="0" applyNumberFormat="1" applyAlignment="1">
      <alignment horizontal="center"/>
    </xf>
    <xf numFmtId="164" fontId="16" fillId="0" borderId="0" xfId="273" applyNumberFormat="1" applyFont="1" applyAlignment="1" applyProtection="1"/>
    <xf numFmtId="166" fontId="16" fillId="0" borderId="0" xfId="264" applyNumberFormat="1" applyFont="1" applyAlignment="1" applyProtection="1">
      <alignment horizontal="center"/>
    </xf>
    <xf numFmtId="41" fontId="16" fillId="0" borderId="0" xfId="264" applyNumberFormat="1" applyFont="1" applyProtection="1"/>
    <xf numFmtId="41" fontId="16" fillId="0" borderId="0" xfId="264" applyNumberFormat="1" applyFont="1" applyAlignment="1" applyProtection="1">
      <alignment horizontal="center"/>
    </xf>
    <xf numFmtId="164" fontId="17" fillId="0" borderId="0" xfId="273" applyNumberFormat="1" applyFont="1" applyAlignment="1" applyProtection="1"/>
    <xf numFmtId="3" fontId="16" fillId="0" borderId="0" xfId="264" applyNumberFormat="1" applyFont="1" applyAlignment="1" applyProtection="1">
      <alignment horizontal="right"/>
    </xf>
    <xf numFmtId="172" fontId="6" fillId="0" borderId="17" xfId="264" applyFont="1" applyBorder="1" applyProtection="1"/>
    <xf numFmtId="0" fontId="6" fillId="0" borderId="0" xfId="264" applyNumberFormat="1" applyFont="1" applyAlignment="1" applyProtection="1">
      <alignment horizontal="center"/>
    </xf>
    <xf numFmtId="172" fontId="6" fillId="0" borderId="0" xfId="264" applyFont="1" applyProtection="1"/>
    <xf numFmtId="3" fontId="6" fillId="0" borderId="18" xfId="264" applyNumberFormat="1" applyFont="1" applyBorder="1" applyProtection="1"/>
    <xf numFmtId="10" fontId="16" fillId="0" borderId="0" xfId="264" applyNumberFormat="1" applyFont="1" applyAlignment="1" applyProtection="1">
      <alignment horizontal="left"/>
    </xf>
    <xf numFmtId="0" fontId="6" fillId="0" borderId="17" xfId="0" applyFont="1" applyBorder="1"/>
    <xf numFmtId="0" fontId="6" fillId="0" borderId="18" xfId="0" applyFont="1" applyBorder="1"/>
    <xf numFmtId="166" fontId="6" fillId="0" borderId="19" xfId="264" applyNumberFormat="1" applyFont="1" applyBorder="1" applyAlignment="1" applyProtection="1">
      <alignment horizontal="center"/>
    </xf>
    <xf numFmtId="0" fontId="6" fillId="0" borderId="6" xfId="264" applyNumberFormat="1" applyFont="1" applyBorder="1" applyAlignment="1" applyProtection="1">
      <alignment horizontal="center"/>
    </xf>
    <xf numFmtId="174" fontId="6" fillId="0" borderId="20" xfId="0" applyNumberFormat="1" applyFont="1" applyBorder="1"/>
    <xf numFmtId="41" fontId="6" fillId="0" borderId="0" xfId="264" applyNumberFormat="1" applyFont="1" applyProtection="1"/>
    <xf numFmtId="0" fontId="16" fillId="30" borderId="0" xfId="264" applyNumberFormat="1" applyFont="1" applyFill="1" applyProtection="1"/>
    <xf numFmtId="41" fontId="16" fillId="0" borderId="0" xfId="264" applyNumberFormat="1" applyFont="1" applyAlignment="1" applyProtection="1">
      <alignment horizontal="left"/>
    </xf>
    <xf numFmtId="41" fontId="6" fillId="0" borderId="0" xfId="264" applyNumberFormat="1" applyFont="1" applyAlignment="1" applyProtection="1">
      <alignment horizontal="right"/>
    </xf>
    <xf numFmtId="167" fontId="16" fillId="0" borderId="0" xfId="264" applyNumberFormat="1" applyFont="1" applyProtection="1"/>
    <xf numFmtId="164" fontId="16" fillId="0" borderId="0" xfId="264" applyNumberFormat="1" applyFont="1" applyAlignment="1" applyProtection="1">
      <alignment horizontal="left"/>
    </xf>
    <xf numFmtId="3" fontId="16" fillId="0" borderId="0" xfId="264" applyNumberFormat="1" applyFont="1" applyAlignment="1" applyProtection="1">
      <alignment vertical="center" wrapText="1"/>
    </xf>
    <xf numFmtId="41" fontId="16" fillId="0" borderId="0" xfId="264" applyNumberFormat="1" applyFont="1" applyAlignment="1" applyProtection="1">
      <alignment vertical="center"/>
    </xf>
    <xf numFmtId="41" fontId="16" fillId="0" borderId="0" xfId="264" applyNumberFormat="1" applyFont="1" applyAlignment="1" applyProtection="1">
      <alignment horizontal="center" vertical="center"/>
    </xf>
    <xf numFmtId="41" fontId="16" fillId="0" borderId="0" xfId="264" applyNumberFormat="1" applyFont="1" applyAlignment="1" applyProtection="1">
      <alignment horizontal="right"/>
    </xf>
    <xf numFmtId="173" fontId="16" fillId="0" borderId="0" xfId="86" applyNumberFormat="1" applyFont="1" applyProtection="1"/>
    <xf numFmtId="41" fontId="16" fillId="0" borderId="0" xfId="0" applyNumberFormat="1" applyFont="1"/>
    <xf numFmtId="41" fontId="16" fillId="0" borderId="11" xfId="264" applyNumberFormat="1" applyFont="1" applyBorder="1" applyProtection="1"/>
    <xf numFmtId="41" fontId="17" fillId="0" borderId="0" xfId="264" applyNumberFormat="1" applyFont="1" applyProtection="1"/>
    <xf numFmtId="3" fontId="16" fillId="0" borderId="0" xfId="264" applyNumberFormat="1" applyFont="1" applyAlignment="1" applyProtection="1">
      <alignment horizontal="center"/>
    </xf>
    <xf numFmtId="0" fontId="16" fillId="0" borderId="0" xfId="264" applyNumberFormat="1" applyFont="1" applyAlignment="1" applyProtection="1">
      <alignment horizontal="center"/>
    </xf>
    <xf numFmtId="10" fontId="16" fillId="0" borderId="0" xfId="264" applyNumberFormat="1" applyFont="1" applyProtection="1"/>
    <xf numFmtId="169" fontId="16" fillId="0" borderId="0" xfId="264" applyNumberFormat="1" applyFont="1" applyProtection="1"/>
    <xf numFmtId="169" fontId="13" fillId="0" borderId="0" xfId="264" applyNumberFormat="1" applyFont="1" applyProtection="1"/>
    <xf numFmtId="173" fontId="16" fillId="0" borderId="0" xfId="86" applyNumberFormat="1" applyFont="1" applyFill="1" applyBorder="1" applyProtection="1"/>
    <xf numFmtId="41" fontId="17" fillId="0" borderId="0" xfId="0" applyNumberFormat="1" applyFont="1"/>
    <xf numFmtId="182" fontId="16" fillId="0" borderId="0" xfId="86" applyNumberFormat="1" applyFont="1" applyProtection="1"/>
    <xf numFmtId="10" fontId="17" fillId="0" borderId="0" xfId="0" applyNumberFormat="1" applyFont="1"/>
    <xf numFmtId="0" fontId="16" fillId="30" borderId="0" xfId="0" applyFont="1" applyFill="1"/>
    <xf numFmtId="173" fontId="16" fillId="0" borderId="0" xfId="86" applyNumberFormat="1" applyFont="1" applyFill="1" applyProtection="1"/>
    <xf numFmtId="173" fontId="16" fillId="0" borderId="0" xfId="86" applyNumberFormat="1" applyFont="1" applyBorder="1" applyProtection="1"/>
    <xf numFmtId="43" fontId="16" fillId="0" borderId="0" xfId="86" applyFont="1" applyProtection="1"/>
    <xf numFmtId="173" fontId="16" fillId="0" borderId="0" xfId="0" applyNumberFormat="1" applyFont="1"/>
    <xf numFmtId="0" fontId="72" fillId="0" borderId="0" xfId="0" applyFont="1"/>
    <xf numFmtId="174" fontId="16" fillId="0" borderId="0" xfId="0" applyNumberFormat="1" applyFont="1"/>
    <xf numFmtId="0" fontId="10" fillId="0" borderId="0" xfId="0" applyFont="1"/>
    <xf numFmtId="0" fontId="13" fillId="0" borderId="21" xfId="0" applyFont="1" applyBorder="1"/>
    <xf numFmtId="0" fontId="13" fillId="0" borderId="15" xfId="0" applyFont="1" applyBorder="1"/>
    <xf numFmtId="0" fontId="16" fillId="0" borderId="15" xfId="0" applyFont="1" applyBorder="1"/>
    <xf numFmtId="0" fontId="9" fillId="0" borderId="0" xfId="86" applyNumberFormat="1" applyFont="1" applyFill="1" applyAlignment="1" applyProtection="1">
      <alignment horizontal="left"/>
    </xf>
    <xf numFmtId="0" fontId="9" fillId="0" borderId="0" xfId="86" applyNumberFormat="1" applyFont="1" applyFill="1" applyBorder="1" applyAlignment="1" applyProtection="1">
      <alignment horizontal="left"/>
    </xf>
    <xf numFmtId="0" fontId="13" fillId="0" borderId="17" xfId="0" applyFont="1" applyBorder="1"/>
    <xf numFmtId="0" fontId="13" fillId="0" borderId="0" xfId="0" applyFont="1"/>
    <xf numFmtId="173" fontId="16" fillId="0" borderId="20" xfId="86" applyNumberFormat="1" applyFont="1" applyBorder="1" applyProtection="1"/>
    <xf numFmtId="0" fontId="11" fillId="0" borderId="0" xfId="0" applyFont="1"/>
    <xf numFmtId="173" fontId="26" fillId="0" borderId="0" xfId="0" applyNumberFormat="1" applyFont="1" applyAlignment="1">
      <alignment horizontal="left"/>
    </xf>
    <xf numFmtId="0" fontId="16" fillId="0" borderId="0" xfId="0" applyFont="1" applyAlignment="1">
      <alignment wrapText="1"/>
    </xf>
    <xf numFmtId="0" fontId="16" fillId="0" borderId="22" xfId="0" applyFont="1" applyBorder="1" applyAlignment="1">
      <alignment horizontal="center"/>
    </xf>
    <xf numFmtId="0" fontId="0" fillId="0" borderId="23" xfId="0" applyBorder="1"/>
    <xf numFmtId="0" fontId="0" fillId="0" borderId="24" xfId="0" applyBorder="1"/>
    <xf numFmtId="0" fontId="16" fillId="0" borderId="17" xfId="0" applyFont="1" applyBorder="1"/>
    <xf numFmtId="0" fontId="13" fillId="0" borderId="25" xfId="0" applyFont="1" applyBorder="1" applyAlignment="1">
      <alignment horizontal="center"/>
    </xf>
    <xf numFmtId="173" fontId="16" fillId="0" borderId="0" xfId="0" applyNumberFormat="1" applyFont="1" applyAlignment="1">
      <alignment horizontal="right"/>
    </xf>
    <xf numFmtId="10" fontId="16" fillId="0" borderId="18" xfId="0" applyNumberFormat="1" applyFont="1" applyBorder="1"/>
    <xf numFmtId="173" fontId="16" fillId="0" borderId="18" xfId="0" applyNumberFormat="1" applyFont="1" applyBorder="1" applyAlignment="1">
      <alignment horizontal="right"/>
    </xf>
    <xf numFmtId="0" fontId="16" fillId="0" borderId="19" xfId="0" applyFont="1" applyBorder="1"/>
    <xf numFmtId="0" fontId="16" fillId="0" borderId="6" xfId="0" applyFont="1" applyBorder="1" applyAlignment="1">
      <alignment horizontal="center"/>
    </xf>
    <xf numFmtId="0" fontId="0" fillId="0" borderId="6" xfId="0" applyBorder="1"/>
    <xf numFmtId="0" fontId="13" fillId="0" borderId="26" xfId="0" applyFont="1" applyBorder="1" applyAlignment="1">
      <alignment horizontal="center" wrapText="1"/>
    </xf>
    <xf numFmtId="173" fontId="13" fillId="0" borderId="0" xfId="86" applyNumberFormat="1" applyFont="1" applyBorder="1" applyAlignment="1" applyProtection="1">
      <alignment horizontal="center" wrapText="1"/>
    </xf>
    <xf numFmtId="173" fontId="13" fillId="0" borderId="26" xfId="86" applyNumberFormat="1" applyFont="1" applyBorder="1" applyAlignment="1" applyProtection="1">
      <alignment horizontal="center" wrapText="1"/>
    </xf>
    <xf numFmtId="173" fontId="13" fillId="0" borderId="25" xfId="86" applyNumberFormat="1" applyFont="1" applyBorder="1" applyAlignment="1" applyProtection="1">
      <alignment horizontal="center" wrapText="1"/>
    </xf>
    <xf numFmtId="0" fontId="13" fillId="0" borderId="27" xfId="0" applyFont="1" applyBorder="1" applyAlignment="1">
      <alignment horizontal="center" wrapText="1"/>
    </xf>
    <xf numFmtId="0" fontId="13" fillId="0" borderId="28" xfId="0" applyFont="1" applyBorder="1" applyAlignment="1">
      <alignment horizontal="center"/>
    </xf>
    <xf numFmtId="0" fontId="13" fillId="0" borderId="6" xfId="0" applyFont="1" applyBorder="1" applyAlignment="1">
      <alignment horizontal="center"/>
    </xf>
    <xf numFmtId="173" fontId="13" fillId="0" borderId="28" xfId="86" applyNumberFormat="1" applyFont="1" applyBorder="1" applyAlignment="1" applyProtection="1">
      <alignment horizontal="center"/>
    </xf>
    <xf numFmtId="173" fontId="13" fillId="0" borderId="20" xfId="86" applyNumberFormat="1" applyFont="1" applyBorder="1" applyAlignment="1" applyProtection="1">
      <alignment horizontal="center"/>
    </xf>
    <xf numFmtId="0" fontId="13" fillId="0" borderId="27" xfId="0" applyFont="1" applyBorder="1" applyAlignment="1">
      <alignment horizontal="center"/>
    </xf>
    <xf numFmtId="0" fontId="16" fillId="0" borderId="27" xfId="0" applyFont="1" applyBorder="1" applyAlignment="1">
      <alignment horizontal="center"/>
    </xf>
    <xf numFmtId="173" fontId="16" fillId="0" borderId="27" xfId="86" applyNumberFormat="1" applyFont="1" applyBorder="1" applyProtection="1"/>
    <xf numFmtId="173" fontId="16" fillId="0" borderId="27" xfId="86" applyNumberFormat="1" applyFont="1" applyFill="1" applyBorder="1" applyProtection="1"/>
    <xf numFmtId="173" fontId="16" fillId="0" borderId="18" xfId="86" applyNumberFormat="1" applyFont="1" applyFill="1" applyBorder="1" applyProtection="1"/>
    <xf numFmtId="174" fontId="16" fillId="0" borderId="27" xfId="0" applyNumberFormat="1" applyFont="1" applyBorder="1"/>
    <xf numFmtId="174" fontId="16" fillId="27" borderId="26" xfId="0" applyNumberFormat="1" applyFont="1" applyFill="1" applyBorder="1"/>
    <xf numFmtId="173" fontId="16" fillId="0" borderId="27" xfId="0" applyNumberFormat="1" applyFont="1" applyBorder="1"/>
    <xf numFmtId="173" fontId="16" fillId="0" borderId="18" xfId="86" applyNumberFormat="1" applyFont="1" applyBorder="1" applyProtection="1"/>
    <xf numFmtId="174" fontId="12" fillId="28" borderId="27" xfId="0" applyNumberFormat="1" applyFont="1" applyFill="1" applyBorder="1"/>
    <xf numFmtId="174" fontId="16" fillId="27" borderId="27" xfId="0" applyNumberFormat="1" applyFont="1" applyFill="1" applyBorder="1"/>
    <xf numFmtId="0" fontId="16" fillId="0" borderId="28" xfId="0" applyFont="1" applyBorder="1" applyAlignment="1">
      <alignment horizontal="center"/>
    </xf>
    <xf numFmtId="173" fontId="16" fillId="0" borderId="6" xfId="0" applyNumberFormat="1" applyFont="1" applyBorder="1"/>
    <xf numFmtId="173" fontId="16" fillId="0" borderId="28" xfId="0" applyNumberFormat="1" applyFont="1" applyBorder="1"/>
    <xf numFmtId="173" fontId="16" fillId="0" borderId="28" xfId="86" applyNumberFormat="1" applyFont="1" applyBorder="1" applyProtection="1"/>
    <xf numFmtId="174" fontId="16" fillId="0" borderId="28" xfId="0" applyNumberFormat="1" applyFont="1" applyBorder="1"/>
    <xf numFmtId="174" fontId="12" fillId="28" borderId="28" xfId="0" applyNumberFormat="1" applyFont="1" applyFill="1" applyBorder="1"/>
    <xf numFmtId="174" fontId="16" fillId="27" borderId="28" xfId="0" applyNumberFormat="1" applyFont="1" applyFill="1" applyBorder="1"/>
    <xf numFmtId="10" fontId="0" fillId="0" borderId="0" xfId="273" applyNumberFormat="1" applyFont="1" applyAlignment="1" applyProtection="1">
      <alignment horizontal="right"/>
    </xf>
    <xf numFmtId="172" fontId="16" fillId="0" borderId="21" xfId="264" applyFont="1" applyBorder="1" applyProtection="1"/>
    <xf numFmtId="172" fontId="16" fillId="0" borderId="15" xfId="264" applyFont="1" applyBorder="1" applyProtection="1"/>
    <xf numFmtId="3" fontId="16" fillId="0" borderId="25" xfId="264" applyNumberFormat="1" applyFont="1" applyBorder="1" applyProtection="1"/>
    <xf numFmtId="172" fontId="16" fillId="0" borderId="17" xfId="264" applyFont="1" applyBorder="1" applyProtection="1"/>
    <xf numFmtId="3" fontId="16" fillId="0" borderId="18" xfId="264" applyNumberFormat="1" applyFont="1" applyBorder="1" applyProtection="1"/>
    <xf numFmtId="0" fontId="16" fillId="0" borderId="0" xfId="264" quotePrefix="1" applyNumberFormat="1" applyFont="1" applyAlignment="1" applyProtection="1">
      <alignment horizontal="center"/>
    </xf>
    <xf numFmtId="0" fontId="16" fillId="0" borderId="18" xfId="0" applyFont="1" applyBorder="1"/>
    <xf numFmtId="10" fontId="36" fillId="0" borderId="0" xfId="0" applyNumberFormat="1" applyFont="1" applyAlignment="1">
      <alignment horizontal="center"/>
    </xf>
    <xf numFmtId="0" fontId="16" fillId="0" borderId="0" xfId="0" applyFont="1" applyAlignment="1">
      <alignment horizontal="right"/>
    </xf>
    <xf numFmtId="174" fontId="16" fillId="0" borderId="18" xfId="0" applyNumberFormat="1" applyFont="1" applyBorder="1"/>
    <xf numFmtId="174" fontId="16" fillId="0" borderId="20" xfId="0" applyNumberFormat="1" applyFont="1" applyBorder="1"/>
    <xf numFmtId="173" fontId="16" fillId="0" borderId="25" xfId="0" applyNumberFormat="1" applyFont="1" applyBorder="1"/>
    <xf numFmtId="166" fontId="16" fillId="0" borderId="19" xfId="264" applyNumberFormat="1" applyFont="1" applyBorder="1" applyAlignment="1" applyProtection="1">
      <alignment horizontal="center"/>
    </xf>
    <xf numFmtId="0" fontId="16" fillId="0" borderId="6" xfId="264" applyNumberFormat="1" applyFont="1" applyBorder="1" applyAlignment="1" applyProtection="1">
      <alignment horizontal="center"/>
    </xf>
    <xf numFmtId="173" fontId="16" fillId="0" borderId="6" xfId="264" quotePrefix="1" applyNumberFormat="1" applyFont="1" applyBorder="1" applyAlignment="1" applyProtection="1">
      <alignment horizontal="center"/>
    </xf>
    <xf numFmtId="10" fontId="16" fillId="0" borderId="0" xfId="273" applyNumberFormat="1" applyFont="1" applyFill="1" applyBorder="1" applyAlignment="1" applyProtection="1"/>
    <xf numFmtId="0" fontId="125" fillId="26" borderId="0" xfId="0" applyFont="1" applyFill="1"/>
    <xf numFmtId="0" fontId="13" fillId="0" borderId="21" xfId="0" applyFont="1" applyBorder="1" applyAlignment="1">
      <alignment horizontal="center"/>
    </xf>
    <xf numFmtId="173" fontId="16" fillId="0" borderId="17" xfId="86" applyNumberFormat="1" applyFont="1" applyBorder="1" applyProtection="1"/>
    <xf numFmtId="173" fontId="13" fillId="0" borderId="0" xfId="86" applyNumberFormat="1" applyFont="1" applyBorder="1" applyProtection="1"/>
    <xf numFmtId="173" fontId="16" fillId="0" borderId="18" xfId="0" applyNumberFormat="1" applyFont="1" applyBorder="1"/>
    <xf numFmtId="173" fontId="13" fillId="0" borderId="11" xfId="86" applyNumberFormat="1" applyFont="1" applyBorder="1" applyProtection="1"/>
    <xf numFmtId="173" fontId="16" fillId="0" borderId="29" xfId="0" applyNumberFormat="1" applyFont="1" applyBorder="1"/>
    <xf numFmtId="173" fontId="13" fillId="0" borderId="6" xfId="86" applyNumberFormat="1" applyFont="1" applyFill="1" applyBorder="1" applyAlignment="1" applyProtection="1">
      <alignment horizontal="left"/>
    </xf>
    <xf numFmtId="173" fontId="13" fillId="0" borderId="20" xfId="86" applyNumberFormat="1" applyFont="1" applyFill="1" applyBorder="1" applyAlignment="1" applyProtection="1">
      <alignment horizontal="left"/>
    </xf>
    <xf numFmtId="173" fontId="16" fillId="0" borderId="26" xfId="0" applyNumberFormat="1" applyFont="1" applyBorder="1"/>
    <xf numFmtId="174" fontId="16" fillId="0" borderId="26" xfId="0" applyNumberFormat="1" applyFont="1" applyBorder="1"/>
    <xf numFmtId="0" fontId="13" fillId="0" borderId="0" xfId="264" applyNumberFormat="1" applyFont="1" applyAlignment="1" applyProtection="1">
      <alignment vertical="center"/>
    </xf>
    <xf numFmtId="0" fontId="105" fillId="0" borderId="0" xfId="0" applyFont="1"/>
    <xf numFmtId="0" fontId="13" fillId="0" borderId="0" xfId="264" applyNumberFormat="1" applyFont="1" applyAlignment="1" applyProtection="1">
      <alignment vertical="top"/>
    </xf>
    <xf numFmtId="0" fontId="26" fillId="0" borderId="0" xfId="0" applyFont="1"/>
    <xf numFmtId="0" fontId="109" fillId="0" borderId="0" xfId="266" applyFont="1"/>
    <xf numFmtId="0" fontId="7" fillId="0" borderId="0" xfId="266"/>
    <xf numFmtId="44" fontId="109" fillId="0" borderId="0" xfId="119" applyFont="1" applyAlignment="1" applyProtection="1"/>
    <xf numFmtId="0" fontId="110" fillId="0" borderId="0" xfId="266" applyFont="1"/>
    <xf numFmtId="0" fontId="111" fillId="0" borderId="0" xfId="266" applyFont="1" applyAlignment="1">
      <alignment horizontal="center"/>
    </xf>
    <xf numFmtId="0" fontId="112" fillId="0" borderId="0" xfId="266" applyFont="1"/>
    <xf numFmtId="176" fontId="111" fillId="0" borderId="0" xfId="266" applyNumberFormat="1" applyFont="1" applyAlignment="1">
      <alignment horizontal="center"/>
    </xf>
    <xf numFmtId="0" fontId="111" fillId="0" borderId="0" xfId="266" applyFont="1"/>
    <xf numFmtId="176" fontId="111" fillId="0" borderId="0" xfId="266" quotePrefix="1" applyNumberFormat="1" applyFont="1" applyAlignment="1">
      <alignment horizontal="center"/>
    </xf>
    <xf numFmtId="195" fontId="111" fillId="0" borderId="0" xfId="266" quotePrefix="1" applyNumberFormat="1" applyFont="1" applyAlignment="1">
      <alignment horizontal="center"/>
    </xf>
    <xf numFmtId="0" fontId="113" fillId="0" borderId="0" xfId="266" applyFont="1"/>
    <xf numFmtId="0" fontId="114" fillId="0" borderId="16" xfId="266" applyFont="1" applyBorder="1"/>
    <xf numFmtId="0" fontId="110" fillId="0" borderId="16" xfId="266" applyFont="1" applyBorder="1"/>
    <xf numFmtId="0" fontId="46" fillId="0" borderId="0" xfId="266" applyFont="1"/>
    <xf numFmtId="0" fontId="9" fillId="0" borderId="0" xfId="263" applyFont="1"/>
    <xf numFmtId="0" fontId="6" fillId="0" borderId="0" xfId="263"/>
    <xf numFmtId="0" fontId="6" fillId="0" borderId="0" xfId="263" applyAlignment="1">
      <alignment horizontal="center"/>
    </xf>
    <xf numFmtId="0" fontId="122" fillId="0" borderId="0" xfId="0" applyFont="1" applyAlignment="1">
      <alignment horizontal="left"/>
    </xf>
    <xf numFmtId="0" fontId="122" fillId="0" borderId="0" xfId="0" applyFont="1"/>
    <xf numFmtId="0" fontId="122" fillId="0" borderId="26" xfId="0" applyFont="1" applyBorder="1" applyAlignment="1">
      <alignment horizontal="center" wrapText="1"/>
    </xf>
    <xf numFmtId="0" fontId="122" fillId="0" borderId="27" xfId="0" applyFont="1" applyBorder="1" applyAlignment="1">
      <alignment horizontal="center" wrapText="1"/>
    </xf>
    <xf numFmtId="0" fontId="122" fillId="0" borderId="27" xfId="0" applyFont="1" applyBorder="1"/>
    <xf numFmtId="170" fontId="123" fillId="0" borderId="0" xfId="0" applyNumberFormat="1" applyFont="1" applyAlignment="1">
      <alignment horizontal="right"/>
    </xf>
    <xf numFmtId="170" fontId="122" fillId="0" borderId="0" xfId="0" applyNumberFormat="1" applyFont="1" applyAlignment="1">
      <alignment horizontal="center"/>
    </xf>
    <xf numFmtId="170" fontId="122" fillId="0" borderId="0" xfId="0" applyNumberFormat="1" applyFont="1"/>
    <xf numFmtId="170" fontId="123" fillId="0" borderId="0" xfId="0" applyNumberFormat="1" applyFont="1" applyAlignment="1">
      <alignment horizontal="center"/>
    </xf>
    <xf numFmtId="170" fontId="9" fillId="0" borderId="0" xfId="0" applyNumberFormat="1" applyFont="1"/>
    <xf numFmtId="5" fontId="122" fillId="0" borderId="28" xfId="0" applyNumberFormat="1" applyFont="1" applyBorder="1" applyAlignment="1">
      <alignment horizontal="center"/>
    </xf>
    <xf numFmtId="173" fontId="122" fillId="0" borderId="0" xfId="0" applyNumberFormat="1" applyFont="1"/>
    <xf numFmtId="0" fontId="122" fillId="0" borderId="0" xfId="0" applyFont="1" applyAlignment="1">
      <alignment horizontal="center"/>
    </xf>
    <xf numFmtId="173" fontId="122" fillId="0" borderId="6" xfId="0" applyNumberFormat="1" applyFont="1" applyBorder="1"/>
    <xf numFmtId="0" fontId="122" fillId="0" borderId="6" xfId="0" applyFont="1" applyBorder="1" applyAlignment="1">
      <alignment horizontal="center"/>
    </xf>
    <xf numFmtId="0" fontId="9" fillId="0" borderId="6" xfId="0" applyFont="1" applyBorder="1"/>
    <xf numFmtId="173" fontId="122" fillId="0" borderId="0" xfId="0" applyNumberFormat="1" applyFont="1" applyAlignment="1">
      <alignment horizontal="left"/>
    </xf>
    <xf numFmtId="0" fontId="123" fillId="0" borderId="0" xfId="0" applyFont="1" applyAlignment="1">
      <alignment horizontal="left"/>
    </xf>
    <xf numFmtId="0" fontId="123" fillId="0" borderId="0" xfId="0" applyFont="1" applyAlignment="1">
      <alignment horizontal="center" wrapText="1"/>
    </xf>
    <xf numFmtId="0" fontId="123" fillId="0" borderId="0" xfId="0" applyFont="1" applyAlignment="1">
      <alignment horizontal="center"/>
    </xf>
    <xf numFmtId="173" fontId="123" fillId="0" borderId="0" xfId="0" applyNumberFormat="1" applyFont="1" applyAlignment="1">
      <alignment horizontal="center" wrapText="1"/>
    </xf>
    <xf numFmtId="173" fontId="123" fillId="0" borderId="0" xfId="0" applyNumberFormat="1" applyFont="1" applyAlignment="1">
      <alignment horizontal="center"/>
    </xf>
    <xf numFmtId="176" fontId="122" fillId="0" borderId="0" xfId="274" applyNumberFormat="1" applyFont="1" applyFill="1" applyProtection="1"/>
    <xf numFmtId="173" fontId="122" fillId="0" borderId="0" xfId="0" applyNumberFormat="1" applyFont="1" applyAlignment="1">
      <alignment horizontal="center"/>
    </xf>
    <xf numFmtId="0" fontId="124" fillId="0" borderId="0" xfId="0" applyFont="1" applyAlignment="1">
      <alignment horizontal="center"/>
    </xf>
    <xf numFmtId="173" fontId="122" fillId="0" borderId="0" xfId="88" applyNumberFormat="1" applyFont="1" applyFill="1" applyProtection="1"/>
    <xf numFmtId="176" fontId="122" fillId="0" borderId="0" xfId="0" applyNumberFormat="1" applyFont="1"/>
    <xf numFmtId="173" fontId="122" fillId="0" borderId="11" xfId="88" applyNumberFormat="1" applyFont="1" applyFill="1" applyBorder="1" applyProtection="1"/>
    <xf numFmtId="173" fontId="123" fillId="0" borderId="0" xfId="88" applyNumberFormat="1" applyFont="1" applyFill="1" applyProtection="1"/>
    <xf numFmtId="173" fontId="123" fillId="0" borderId="0" xfId="88" applyNumberFormat="1" applyFont="1" applyFill="1" applyAlignment="1" applyProtection="1">
      <alignment horizontal="center"/>
    </xf>
    <xf numFmtId="0" fontId="124" fillId="0" borderId="0" xfId="0" applyFont="1"/>
    <xf numFmtId="173" fontId="123" fillId="0" borderId="0" xfId="0" applyNumberFormat="1" applyFont="1"/>
    <xf numFmtId="197" fontId="9" fillId="0" borderId="0" xfId="0" applyNumberFormat="1" applyFont="1"/>
    <xf numFmtId="173" fontId="9" fillId="0" borderId="0" xfId="88" applyNumberFormat="1" applyFont="1" applyFill="1" applyProtection="1"/>
    <xf numFmtId="173" fontId="9" fillId="0" borderId="0" xfId="120" applyNumberFormat="1" applyFont="1" applyFill="1" applyProtection="1"/>
    <xf numFmtId="0" fontId="23" fillId="31" borderId="0" xfId="86" applyNumberFormat="1" applyFont="1" applyFill="1" applyAlignment="1" applyProtection="1">
      <protection locked="0"/>
    </xf>
    <xf numFmtId="173" fontId="23" fillId="31" borderId="0" xfId="86" applyNumberFormat="1" applyFont="1" applyFill="1" applyAlignment="1" applyProtection="1">
      <alignment horizontal="right"/>
      <protection locked="0"/>
    </xf>
    <xf numFmtId="41" fontId="23" fillId="31" borderId="0" xfId="264" applyNumberFormat="1" applyFont="1" applyFill="1" applyProtection="1">
      <protection locked="0"/>
    </xf>
    <xf numFmtId="41" fontId="23" fillId="31" borderId="6" xfId="264" applyNumberFormat="1" applyFont="1" applyFill="1" applyBorder="1" applyProtection="1">
      <protection locked="0"/>
    </xf>
    <xf numFmtId="3" fontId="23" fillId="31" borderId="0" xfId="264" applyNumberFormat="1" applyFont="1" applyFill="1" applyProtection="1">
      <protection locked="0"/>
    </xf>
    <xf numFmtId="3" fontId="23" fillId="31" borderId="6" xfId="264" applyNumberFormat="1" applyFont="1" applyFill="1" applyBorder="1" applyProtection="1">
      <protection locked="0"/>
    </xf>
    <xf numFmtId="10" fontId="23" fillId="31" borderId="0" xfId="273" applyNumberFormat="1" applyFont="1" applyFill="1" applyAlignment="1" applyProtection="1">
      <protection locked="0"/>
    </xf>
    <xf numFmtId="173" fontId="12" fillId="31" borderId="0" xfId="89" applyNumberFormat="1" applyFont="1" applyFill="1" applyBorder="1" applyAlignment="1" applyProtection="1">
      <alignment horizontal="right"/>
      <protection locked="0"/>
    </xf>
    <xf numFmtId="0" fontId="36" fillId="31" borderId="0" xfId="215" applyFont="1" applyFill="1" applyProtection="1">
      <protection locked="0"/>
    </xf>
    <xf numFmtId="173" fontId="12" fillId="31" borderId="11" xfId="89" applyNumberFormat="1" applyFont="1" applyFill="1" applyBorder="1" applyAlignment="1" applyProtection="1">
      <alignment horizontal="right"/>
      <protection locked="0"/>
    </xf>
    <xf numFmtId="41" fontId="12" fillId="31" borderId="0" xfId="254" applyNumberFormat="1" applyFont="1" applyFill="1" applyProtection="1">
      <protection locked="0"/>
    </xf>
    <xf numFmtId="41" fontId="12" fillId="31" borderId="11" xfId="254" applyNumberFormat="1" applyFont="1" applyFill="1" applyBorder="1" applyProtection="1">
      <protection locked="0"/>
    </xf>
    <xf numFmtId="37" fontId="12" fillId="31" borderId="0" xfId="0" applyNumberFormat="1" applyFont="1" applyFill="1" applyProtection="1">
      <protection locked="0"/>
    </xf>
    <xf numFmtId="3" fontId="67" fillId="31" borderId="0" xfId="0" applyNumberFormat="1" applyFont="1" applyFill="1" applyProtection="1">
      <protection locked="0"/>
    </xf>
    <xf numFmtId="3" fontId="126" fillId="31" borderId="0" xfId="0" applyNumberFormat="1" applyFont="1" applyFill="1" applyProtection="1">
      <protection locked="0"/>
    </xf>
    <xf numFmtId="37" fontId="126" fillId="31" borderId="0" xfId="0" applyNumberFormat="1" applyFont="1" applyFill="1" applyProtection="1">
      <protection locked="0"/>
    </xf>
    <xf numFmtId="1" fontId="67" fillId="31" borderId="0" xfId="0" applyNumberFormat="1" applyFont="1" applyFill="1" applyAlignment="1" applyProtection="1">
      <alignment horizontal="left"/>
      <protection locked="0"/>
    </xf>
    <xf numFmtId="38" fontId="67" fillId="0" borderId="15" xfId="0" applyNumberFormat="1" applyFont="1" applyBorder="1"/>
    <xf numFmtId="173" fontId="12" fillId="0" borderId="0" xfId="86" applyNumberFormat="1" applyFont="1" applyFill="1" applyProtection="1"/>
    <xf numFmtId="173" fontId="0" fillId="0" borderId="11" xfId="0" applyNumberFormat="1" applyBorder="1"/>
    <xf numFmtId="173" fontId="12" fillId="31" borderId="0" xfId="117" applyNumberFormat="1" applyFont="1" applyFill="1" applyProtection="1">
      <protection locked="0"/>
    </xf>
    <xf numFmtId="0" fontId="23" fillId="31" borderId="0" xfId="254" applyFont="1" applyFill="1" applyAlignment="1" applyProtection="1">
      <alignment horizontal="center"/>
      <protection locked="0"/>
    </xf>
    <xf numFmtId="3" fontId="23" fillId="31" borderId="0" xfId="0" applyNumberFormat="1" applyFont="1" applyFill="1" applyProtection="1">
      <protection locked="0"/>
    </xf>
    <xf numFmtId="41" fontId="23" fillId="31" borderId="0" xfId="254" applyNumberFormat="1" applyFont="1" applyFill="1" applyProtection="1">
      <protection locked="0"/>
    </xf>
    <xf numFmtId="38" fontId="12" fillId="31" borderId="0" xfId="0" applyNumberFormat="1" applyFont="1" applyFill="1" applyProtection="1">
      <protection locked="0"/>
    </xf>
    <xf numFmtId="173" fontId="81" fillId="31" borderId="0" xfId="265" applyNumberFormat="1" applyFont="1" applyFill="1" applyProtection="1">
      <protection locked="0"/>
    </xf>
    <xf numFmtId="0" fontId="75" fillId="31" borderId="0" xfId="265" applyFont="1" applyFill="1" applyAlignment="1" applyProtection="1">
      <alignment horizontal="center"/>
      <protection locked="0"/>
    </xf>
    <xf numFmtId="0" fontId="12" fillId="31" borderId="0" xfId="86" applyNumberFormat="1" applyFont="1" applyFill="1" applyAlignment="1" applyProtection="1">
      <protection locked="0"/>
    </xf>
    <xf numFmtId="173" fontId="6" fillId="31" borderId="6" xfId="264" applyNumberFormat="1" applyFont="1" applyFill="1" applyBorder="1" applyAlignment="1" applyProtection="1">
      <alignment horizontal="center"/>
      <protection locked="0"/>
    </xf>
    <xf numFmtId="0" fontId="23" fillId="31" borderId="0" xfId="86" applyNumberFormat="1" applyFont="1" applyFill="1" applyAlignment="1" applyProtection="1">
      <alignment horizontal="left"/>
      <protection locked="0"/>
    </xf>
    <xf numFmtId="0" fontId="161" fillId="31" borderId="18" xfId="0" applyFont="1" applyFill="1" applyBorder="1" applyAlignment="1" applyProtection="1">
      <alignment horizontal="right"/>
      <protection locked="0"/>
    </xf>
    <xf numFmtId="0" fontId="12" fillId="31" borderId="20" xfId="0" applyFont="1" applyFill="1" applyBorder="1" applyAlignment="1" applyProtection="1">
      <alignment horizontal="right"/>
      <protection locked="0"/>
    </xf>
    <xf numFmtId="173" fontId="12" fillId="31" borderId="18" xfId="0" applyNumberFormat="1" applyFont="1" applyFill="1" applyBorder="1" applyAlignment="1" applyProtection="1">
      <alignment horizontal="right"/>
      <protection locked="0"/>
    </xf>
    <xf numFmtId="174" fontId="12" fillId="31" borderId="26" xfId="0" applyNumberFormat="1" applyFont="1" applyFill="1" applyBorder="1" applyProtection="1">
      <protection locked="0"/>
    </xf>
    <xf numFmtId="174" fontId="12" fillId="31" borderId="27" xfId="0" applyNumberFormat="1" applyFont="1" applyFill="1" applyBorder="1" applyProtection="1">
      <protection locked="0"/>
    </xf>
    <xf numFmtId="174" fontId="12" fillId="31" borderId="28" xfId="0" applyNumberFormat="1" applyFont="1" applyFill="1" applyBorder="1" applyProtection="1">
      <protection locked="0"/>
    </xf>
    <xf numFmtId="174" fontId="16" fillId="31" borderId="0" xfId="0" applyNumberFormat="1" applyFont="1" applyFill="1" applyProtection="1">
      <protection locked="0"/>
    </xf>
    <xf numFmtId="0" fontId="73" fillId="31" borderId="0" xfId="0" applyFont="1" applyFill="1" applyAlignment="1" applyProtection="1">
      <alignment horizontal="left"/>
      <protection locked="0"/>
    </xf>
    <xf numFmtId="0" fontId="12" fillId="31" borderId="18" xfId="0" applyFont="1" applyFill="1" applyBorder="1" applyAlignment="1" applyProtection="1">
      <alignment horizontal="right"/>
      <protection locked="0"/>
    </xf>
    <xf numFmtId="0" fontId="21" fillId="0" borderId="0" xfId="254" applyFont="1" applyAlignment="1">
      <alignment wrapText="1"/>
    </xf>
    <xf numFmtId="173" fontId="12" fillId="31" borderId="0" xfId="88" applyNumberFormat="1" applyFont="1" applyFill="1" applyBorder="1" applyProtection="1">
      <protection locked="0"/>
    </xf>
    <xf numFmtId="173" fontId="24" fillId="31" borderId="0" xfId="86" applyNumberFormat="1" applyFont="1" applyFill="1" applyProtection="1">
      <protection locked="0"/>
    </xf>
    <xf numFmtId="191" fontId="24" fillId="31" borderId="0" xfId="0" applyNumberFormat="1" applyFont="1" applyFill="1" applyProtection="1">
      <protection locked="0"/>
    </xf>
    <xf numFmtId="0" fontId="0" fillId="31" borderId="0" xfId="0" applyFill="1" applyAlignment="1" applyProtection="1">
      <alignment horizontal="center"/>
      <protection locked="0"/>
    </xf>
    <xf numFmtId="0" fontId="24" fillId="31" borderId="0" xfId="0" applyFont="1" applyFill="1" applyProtection="1">
      <protection locked="0"/>
    </xf>
    <xf numFmtId="170" fontId="122" fillId="31" borderId="28" xfId="0" applyNumberFormat="1" applyFont="1" applyFill="1" applyBorder="1" applyAlignment="1" applyProtection="1">
      <alignment horizontal="center"/>
      <protection locked="0"/>
    </xf>
    <xf numFmtId="176" fontId="122" fillId="31" borderId="0" xfId="274" applyNumberFormat="1" applyFont="1" applyFill="1" applyProtection="1">
      <protection locked="0"/>
    </xf>
    <xf numFmtId="199" fontId="162" fillId="30" borderId="0" xfId="0" applyNumberFormat="1" applyFont="1" applyFill="1" applyAlignment="1">
      <alignment horizontal="right"/>
    </xf>
    <xf numFmtId="41" fontId="12" fillId="31" borderId="0" xfId="255" applyNumberFormat="1" applyFont="1" applyFill="1"/>
    <xf numFmtId="41" fontId="12" fillId="31" borderId="11" xfId="255" applyNumberFormat="1" applyFont="1" applyFill="1" applyBorder="1"/>
    <xf numFmtId="173" fontId="12" fillId="0" borderId="0" xfId="117" applyNumberFormat="1" applyFont="1" applyFill="1" applyProtection="1">
      <protection locked="0"/>
    </xf>
    <xf numFmtId="0" fontId="130" fillId="0" borderId="0" xfId="0" applyFont="1" applyAlignment="1">
      <alignment vertical="center"/>
    </xf>
    <xf numFmtId="0" fontId="83" fillId="0" borderId="0" xfId="215" applyFont="1" applyAlignment="1">
      <alignment horizontal="center"/>
    </xf>
    <xf numFmtId="173" fontId="81" fillId="0" borderId="0" xfId="265" applyNumberFormat="1" applyFont="1" applyProtection="1">
      <protection locked="0"/>
    </xf>
    <xf numFmtId="0" fontId="75" fillId="0" borderId="0" xfId="265" applyFont="1" applyAlignment="1" applyProtection="1">
      <alignment horizontal="center"/>
      <protection locked="0"/>
    </xf>
    <xf numFmtId="0" fontId="131" fillId="0" borderId="0" xfId="0" applyFont="1" applyAlignment="1">
      <alignment horizontal="center"/>
    </xf>
    <xf numFmtId="172" fontId="16" fillId="0" borderId="0" xfId="260" applyFont="1"/>
    <xf numFmtId="0" fontId="16" fillId="0" borderId="0" xfId="267"/>
    <xf numFmtId="173" fontId="16" fillId="0" borderId="14" xfId="88" applyNumberFormat="1" applyFont="1" applyBorder="1"/>
    <xf numFmtId="173" fontId="16" fillId="0" borderId="32" xfId="88" applyNumberFormat="1" applyFont="1" applyBorder="1"/>
    <xf numFmtId="0" fontId="16" fillId="0" borderId="14" xfId="0" applyFont="1" applyBorder="1" applyAlignment="1">
      <alignment horizontal="center"/>
    </xf>
    <xf numFmtId="0" fontId="16" fillId="0" borderId="35" xfId="0" applyFont="1" applyBorder="1" applyAlignment="1">
      <alignment horizontal="center"/>
    </xf>
    <xf numFmtId="0" fontId="16" fillId="0" borderId="34" xfId="0" applyFont="1" applyBorder="1" applyAlignment="1">
      <alignment horizontal="center"/>
    </xf>
    <xf numFmtId="0" fontId="131" fillId="0" borderId="0" xfId="0" applyFont="1"/>
    <xf numFmtId="0" fontId="13" fillId="0" borderId="0" xfId="267" applyFont="1" applyAlignment="1">
      <alignment horizontal="center"/>
    </xf>
    <xf numFmtId="0" fontId="13" fillId="0" borderId="33" xfId="267" applyFont="1" applyBorder="1" applyAlignment="1">
      <alignment horizontal="center"/>
    </xf>
    <xf numFmtId="0" fontId="13" fillId="0" borderId="34" xfId="267" applyFont="1" applyBorder="1" applyAlignment="1">
      <alignment horizontal="center"/>
    </xf>
    <xf numFmtId="0" fontId="13" fillId="0" borderId="33" xfId="267" applyFont="1" applyBorder="1" applyAlignment="1">
      <alignment horizontal="center" wrapText="1"/>
    </xf>
    <xf numFmtId="0" fontId="13" fillId="0" borderId="0" xfId="267" applyFont="1" applyAlignment="1">
      <alignment horizontal="center" wrapText="1"/>
    </xf>
    <xf numFmtId="0" fontId="13" fillId="0" borderId="34" xfId="267" applyFont="1" applyBorder="1" applyAlignment="1">
      <alignment horizontal="center" wrapText="1"/>
    </xf>
    <xf numFmtId="0" fontId="16" fillId="0" borderId="34" xfId="0" applyFont="1" applyBorder="1" applyAlignment="1">
      <alignment horizontal="center" wrapText="1"/>
    </xf>
    <xf numFmtId="0" fontId="13" fillId="0" borderId="2" xfId="267" applyFont="1" applyBorder="1" applyAlignment="1">
      <alignment horizontal="centerContinuous" wrapText="1"/>
    </xf>
    <xf numFmtId="0" fontId="16" fillId="0" borderId="36" xfId="0" applyFont="1" applyBorder="1" applyAlignment="1">
      <alignment horizontal="center"/>
    </xf>
    <xf numFmtId="37" fontId="16" fillId="0" borderId="0" xfId="267" applyNumberFormat="1"/>
    <xf numFmtId="0" fontId="16" fillId="0" borderId="39" xfId="267" applyBorder="1" applyAlignment="1">
      <alignment horizontal="right"/>
    </xf>
    <xf numFmtId="0" fontId="16" fillId="0" borderId="40" xfId="0" applyFont="1" applyBorder="1" applyAlignment="1">
      <alignment horizontal="center"/>
    </xf>
    <xf numFmtId="0" fontId="16" fillId="0" borderId="37" xfId="267" applyBorder="1"/>
    <xf numFmtId="0" fontId="16" fillId="0" borderId="33" xfId="267" applyBorder="1"/>
    <xf numFmtId="0" fontId="16" fillId="0" borderId="33" xfId="267" quotePrefix="1" applyBorder="1" applyAlignment="1">
      <alignment horizontal="left"/>
    </xf>
    <xf numFmtId="3" fontId="28" fillId="0" borderId="11" xfId="215" applyNumberFormat="1" applyFont="1" applyBorder="1" applyAlignment="1">
      <alignment horizontal="center" wrapText="1"/>
    </xf>
    <xf numFmtId="0" fontId="13" fillId="0" borderId="38" xfId="267" applyFont="1" applyBorder="1" applyAlignment="1">
      <alignment horizontal="center" wrapText="1"/>
    </xf>
    <xf numFmtId="0" fontId="16" fillId="0" borderId="36" xfId="0" applyFont="1" applyBorder="1" applyAlignment="1">
      <alignment horizontal="center" wrapText="1"/>
    </xf>
    <xf numFmtId="0" fontId="13" fillId="0" borderId="0" xfId="267" applyFont="1" applyAlignment="1">
      <alignment horizontal="centerContinuous"/>
    </xf>
    <xf numFmtId="0" fontId="16" fillId="0" borderId="0" xfId="193"/>
    <xf numFmtId="0" fontId="16" fillId="0" borderId="0" xfId="267" applyAlignment="1">
      <alignment horizontal="left"/>
    </xf>
    <xf numFmtId="0" fontId="21" fillId="0" borderId="0" xfId="215" applyFont="1" applyAlignment="1">
      <alignment horizontal="center" vertical="center"/>
    </xf>
    <xf numFmtId="0" fontId="21" fillId="0" borderId="0" xfId="254" applyFont="1" applyAlignment="1">
      <alignment horizontal="center" vertical="center" wrapText="1"/>
    </xf>
    <xf numFmtId="0" fontId="21" fillId="0" borderId="0" xfId="215" quotePrefix="1" applyFont="1" applyAlignment="1">
      <alignment horizontal="center" vertical="center" wrapText="1"/>
    </xf>
    <xf numFmtId="0" fontId="21" fillId="0" borderId="0" xfId="215" applyFont="1" applyAlignment="1">
      <alignment horizontal="left" vertical="center"/>
    </xf>
    <xf numFmtId="173" fontId="0" fillId="0" borderId="11" xfId="86" applyNumberFormat="1" applyFont="1" applyFill="1" applyBorder="1"/>
    <xf numFmtId="173" fontId="67" fillId="0" borderId="0" xfId="86" applyNumberFormat="1" applyFont="1" applyFill="1" applyAlignment="1" applyProtection="1">
      <alignment horizontal="left"/>
      <protection locked="0"/>
    </xf>
    <xf numFmtId="173" fontId="67" fillId="0" borderId="11" xfId="86" applyNumberFormat="1" applyFont="1" applyFill="1" applyBorder="1" applyAlignment="1" applyProtection="1">
      <alignment horizontal="left"/>
      <protection locked="0"/>
    </xf>
    <xf numFmtId="0" fontId="19" fillId="0" borderId="0" xfId="0" applyFont="1"/>
    <xf numFmtId="0" fontId="19" fillId="0" borderId="0" xfId="0" applyFont="1" applyAlignment="1">
      <alignment horizontal="center"/>
    </xf>
    <xf numFmtId="0" fontId="19" fillId="0" borderId="0" xfId="0" applyFont="1" applyAlignment="1">
      <alignment horizontal="right"/>
    </xf>
    <xf numFmtId="0" fontId="96" fillId="0" borderId="0" xfId="267" applyFont="1" applyAlignment="1">
      <alignment horizontal="centerContinuous"/>
    </xf>
    <xf numFmtId="0" fontId="19" fillId="0" borderId="0" xfId="267" applyFont="1" applyAlignment="1">
      <alignment horizontal="left"/>
    </xf>
    <xf numFmtId="0" fontId="96" fillId="0" borderId="0" xfId="267" applyFont="1" applyAlignment="1">
      <alignment horizontal="center"/>
    </xf>
    <xf numFmtId="0" fontId="13" fillId="0" borderId="41" xfId="267" applyFont="1" applyBorder="1" applyAlignment="1">
      <alignment horizontal="center" wrapText="1"/>
    </xf>
    <xf numFmtId="0" fontId="19" fillId="0" borderId="0" xfId="0" applyFont="1" applyAlignment="1">
      <alignment wrapText="1"/>
    </xf>
    <xf numFmtId="0" fontId="13" fillId="0" borderId="10" xfId="267" applyFont="1" applyBorder="1" applyAlignment="1">
      <alignment horizontal="center"/>
    </xf>
    <xf numFmtId="0" fontId="132" fillId="0" borderId="0" xfId="0" applyFont="1"/>
    <xf numFmtId="3" fontId="28" fillId="0" borderId="35" xfId="215" applyNumberFormat="1" applyFont="1" applyBorder="1" applyAlignment="1">
      <alignment horizontal="center" wrapText="1"/>
    </xf>
    <xf numFmtId="3" fontId="28" fillId="0" borderId="42" xfId="215" applyNumberFormat="1" applyFont="1" applyBorder="1" applyAlignment="1">
      <alignment wrapText="1"/>
    </xf>
    <xf numFmtId="173" fontId="12" fillId="29" borderId="0" xfId="110" applyNumberFormat="1" applyFont="1" applyFill="1" applyAlignment="1" applyProtection="1">
      <protection locked="0"/>
    </xf>
    <xf numFmtId="41" fontId="16" fillId="0" borderId="10" xfId="267" applyNumberFormat="1" applyBorder="1"/>
    <xf numFmtId="173" fontId="16" fillId="0" borderId="43" xfId="88" applyNumberFormat="1" applyFont="1" applyBorder="1"/>
    <xf numFmtId="3" fontId="28" fillId="0" borderId="42" xfId="215" applyNumberFormat="1" applyFont="1" applyBorder="1" applyAlignment="1">
      <alignment horizontal="center" wrapText="1"/>
    </xf>
    <xf numFmtId="0" fontId="19" fillId="0" borderId="0" xfId="267" applyFont="1"/>
    <xf numFmtId="37" fontId="19" fillId="0" borderId="0" xfId="267" applyNumberFormat="1" applyFont="1"/>
    <xf numFmtId="172" fontId="19" fillId="0" borderId="0" xfId="260" applyFont="1"/>
    <xf numFmtId="0" fontId="16" fillId="0" borderId="0" xfId="256" applyAlignment="1">
      <alignment vertical="top"/>
    </xf>
    <xf numFmtId="0" fontId="132" fillId="0" borderId="0" xfId="0" applyFont="1" applyAlignment="1">
      <alignment horizontal="center"/>
    </xf>
    <xf numFmtId="0" fontId="95" fillId="0" borderId="0" xfId="257" applyFont="1"/>
    <xf numFmtId="0" fontId="96" fillId="0" borderId="0" xfId="0" applyFont="1" applyAlignment="1">
      <alignment horizontal="center"/>
    </xf>
    <xf numFmtId="0" fontId="96" fillId="0" borderId="0" xfId="0" quotePrefix="1" applyFont="1" applyAlignment="1">
      <alignment horizontal="center"/>
    </xf>
    <xf numFmtId="0" fontId="13" fillId="0" borderId="0" xfId="257" applyFont="1" applyAlignment="1">
      <alignment horizontal="left"/>
    </xf>
    <xf numFmtId="173" fontId="16" fillId="0" borderId="0" xfId="88" applyNumberFormat="1" applyFont="1" applyFill="1" applyProtection="1"/>
    <xf numFmtId="0" fontId="16" fillId="0" borderId="0" xfId="257"/>
    <xf numFmtId="0" fontId="16" fillId="0" borderId="0" xfId="187"/>
    <xf numFmtId="0" fontId="16" fillId="0" borderId="0" xfId="257" applyAlignment="1">
      <alignment horizontal="left"/>
    </xf>
    <xf numFmtId="173" fontId="12" fillId="31" borderId="0" xfId="88" applyNumberFormat="1" applyFont="1" applyFill="1" applyProtection="1">
      <protection locked="0"/>
    </xf>
    <xf numFmtId="0" fontId="16" fillId="0" borderId="0" xfId="256" applyAlignment="1">
      <alignment horizontal="left"/>
    </xf>
    <xf numFmtId="173" fontId="12" fillId="0" borderId="0" xfId="88" applyNumberFormat="1" applyFont="1" applyFill="1" applyProtection="1">
      <protection locked="0"/>
    </xf>
    <xf numFmtId="10" fontId="16" fillId="0" borderId="0" xfId="274" applyNumberFormat="1" applyFont="1" applyFill="1" applyBorder="1" applyProtection="1"/>
    <xf numFmtId="173" fontId="12" fillId="29" borderId="6" xfId="88" applyNumberFormat="1" applyFont="1" applyFill="1" applyBorder="1" applyAlignment="1" applyProtection="1">
      <protection locked="0"/>
    </xf>
    <xf numFmtId="10" fontId="13" fillId="0" borderId="0" xfId="274" applyNumberFormat="1" applyFont="1" applyFill="1" applyBorder="1" applyProtection="1"/>
    <xf numFmtId="0" fontId="13" fillId="0" borderId="0" xfId="257" applyFont="1"/>
    <xf numFmtId="173" fontId="16" fillId="0" borderId="0" xfId="274" applyNumberFormat="1" applyFont="1" applyFill="1" applyBorder="1" applyProtection="1"/>
    <xf numFmtId="10" fontId="13" fillId="0" borderId="44" xfId="274" applyNumberFormat="1" applyFont="1" applyFill="1" applyBorder="1" applyProtection="1"/>
    <xf numFmtId="0" fontId="104" fillId="0" borderId="0" xfId="187" applyFont="1" applyAlignment="1">
      <alignment horizontal="center"/>
    </xf>
    <xf numFmtId="0" fontId="19" fillId="0" borderId="0" xfId="257" applyFont="1"/>
    <xf numFmtId="41" fontId="13" fillId="0" borderId="0" xfId="257" applyNumberFormat="1" applyFont="1" applyAlignment="1">
      <alignment horizontal="center" wrapText="1"/>
    </xf>
    <xf numFmtId="0" fontId="12" fillId="31" borderId="0" xfId="257" applyFont="1" applyFill="1" applyProtection="1">
      <protection locked="0"/>
    </xf>
    <xf numFmtId="173" fontId="19" fillId="0" borderId="0" xfId="257" applyNumberFormat="1" applyFont="1"/>
    <xf numFmtId="198" fontId="12" fillId="31" borderId="0" xfId="257" applyNumberFormat="1" applyFont="1" applyFill="1" applyProtection="1">
      <protection locked="0"/>
    </xf>
    <xf numFmtId="37" fontId="12" fillId="31" borderId="0" xfId="257" applyNumberFormat="1" applyFont="1" applyFill="1" applyProtection="1">
      <protection locked="0"/>
    </xf>
    <xf numFmtId="173" fontId="12" fillId="31" borderId="0" xfId="257" applyNumberFormat="1" applyFont="1" applyFill="1" applyProtection="1">
      <protection locked="0"/>
    </xf>
    <xf numFmtId="0" fontId="86" fillId="31" borderId="0" xfId="257" applyFont="1" applyFill="1" applyProtection="1">
      <protection locked="0"/>
    </xf>
    <xf numFmtId="0" fontId="16" fillId="0" borderId="11" xfId="0" applyFont="1" applyBorder="1"/>
    <xf numFmtId="0" fontId="19" fillId="0" borderId="11" xfId="257" applyFont="1" applyBorder="1"/>
    <xf numFmtId="0" fontId="16" fillId="30" borderId="0" xfId="257" applyFill="1" applyAlignment="1">
      <alignment horizontal="left"/>
    </xf>
    <xf numFmtId="41" fontId="16" fillId="0" borderId="0" xfId="274" applyNumberFormat="1" applyFont="1" applyFill="1" applyBorder="1" applyProtection="1"/>
    <xf numFmtId="186" fontId="16" fillId="0" borderId="0" xfId="88" applyNumberFormat="1" applyFont="1" applyFill="1" applyBorder="1" applyProtection="1"/>
    <xf numFmtId="10" fontId="19" fillId="0" borderId="0" xfId="274" applyNumberFormat="1" applyFont="1" applyFill="1" applyProtection="1"/>
    <xf numFmtId="173" fontId="16" fillId="0" borderId="0" xfId="88" applyNumberFormat="1" applyFont="1" applyFill="1" applyBorder="1" applyProtection="1"/>
    <xf numFmtId="173" fontId="13" fillId="0" borderId="44" xfId="88" applyNumberFormat="1" applyFont="1" applyFill="1" applyBorder="1" applyProtection="1"/>
    <xf numFmtId="0" fontId="95" fillId="0" borderId="0" xfId="257" applyFont="1" applyAlignment="1">
      <alignment horizontal="left"/>
    </xf>
    <xf numFmtId="0" fontId="19" fillId="0" borderId="0" xfId="257" applyFont="1" applyAlignment="1">
      <alignment horizontal="left"/>
    </xf>
    <xf numFmtId="0" fontId="21" fillId="0" borderId="0" xfId="257" applyFont="1" applyAlignment="1">
      <alignment horizontal="left"/>
    </xf>
    <xf numFmtId="0" fontId="21" fillId="0" borderId="0" xfId="257" applyFont="1" applyAlignment="1">
      <alignment horizontal="center" wrapText="1"/>
    </xf>
    <xf numFmtId="164" fontId="12" fillId="31" borderId="0" xfId="274" applyNumberFormat="1" applyFont="1" applyFill="1" applyAlignment="1" applyProtection="1">
      <alignment horizontal="right" wrapText="1"/>
      <protection locked="0"/>
    </xf>
    <xf numFmtId="44" fontId="12" fillId="31" borderId="0" xfId="120" applyFont="1" applyFill="1" applyAlignment="1" applyProtection="1">
      <alignment horizontal="right" wrapText="1"/>
      <protection locked="0"/>
    </xf>
    <xf numFmtId="41" fontId="12" fillId="0" borderId="0" xfId="257" applyNumberFormat="1" applyFont="1"/>
    <xf numFmtId="173" fontId="16" fillId="0" borderId="0" xfId="88" applyNumberFormat="1" applyFill="1" applyProtection="1"/>
    <xf numFmtId="41" fontId="16" fillId="0" borderId="0" xfId="257" applyNumberFormat="1"/>
    <xf numFmtId="41" fontId="96" fillId="0" borderId="0" xfId="257" applyNumberFormat="1" applyFont="1"/>
    <xf numFmtId="41" fontId="16" fillId="0" borderId="12" xfId="257" applyNumberFormat="1" applyBorder="1"/>
    <xf numFmtId="41" fontId="13" fillId="0" borderId="41" xfId="257" applyNumberFormat="1" applyFont="1" applyBorder="1"/>
    <xf numFmtId="3" fontId="0" fillId="0" borderId="0" xfId="0" applyNumberFormat="1"/>
    <xf numFmtId="0" fontId="17" fillId="0" borderId="0" xfId="0" applyFont="1" applyAlignment="1">
      <alignment horizontal="center"/>
    </xf>
    <xf numFmtId="3" fontId="0" fillId="0" borderId="0" xfId="0" applyNumberFormat="1" applyAlignment="1">
      <alignment horizontal="centerContinuous"/>
    </xf>
    <xf numFmtId="3" fontId="17" fillId="0" borderId="0" xfId="0" applyNumberFormat="1" applyFont="1" applyAlignment="1">
      <alignment horizontal="centerContinuous"/>
    </xf>
    <xf numFmtId="3" fontId="16" fillId="0" borderId="0" xfId="0" applyNumberFormat="1" applyFont="1" applyAlignment="1">
      <alignment horizontal="centerContinuous"/>
    </xf>
    <xf numFmtId="3" fontId="0" fillId="0" borderId="45" xfId="0" applyNumberFormat="1" applyBorder="1"/>
    <xf numFmtId="3" fontId="0" fillId="0" borderId="0" xfId="0" applyNumberFormat="1" applyAlignment="1">
      <alignment horizontal="left"/>
    </xf>
    <xf numFmtId="37" fontId="0" fillId="0" borderId="0" xfId="0" applyNumberFormat="1"/>
    <xf numFmtId="37" fontId="0" fillId="0" borderId="0" xfId="0" applyNumberFormat="1" applyAlignment="1">
      <alignment horizontal="center"/>
    </xf>
    <xf numFmtId="37" fontId="0" fillId="32" borderId="0" xfId="0" applyNumberFormat="1" applyFill="1"/>
    <xf numFmtId="37" fontId="0" fillId="0" borderId="45" xfId="0" applyNumberFormat="1" applyBorder="1"/>
    <xf numFmtId="37" fontId="0" fillId="0" borderId="46" xfId="0" applyNumberFormat="1" applyBorder="1"/>
    <xf numFmtId="37" fontId="0" fillId="33" borderId="0" xfId="0" applyNumberFormat="1" applyFill="1"/>
    <xf numFmtId="37" fontId="16" fillId="0" borderId="0" xfId="0" applyNumberFormat="1" applyFont="1"/>
    <xf numFmtId="3" fontId="0" fillId="0" borderId="0" xfId="0" applyNumberFormat="1" applyAlignment="1" applyProtection="1">
      <alignment horizontal="center"/>
      <protection locked="0"/>
    </xf>
    <xf numFmtId="3" fontId="0" fillId="0" borderId="0" xfId="0" applyNumberFormat="1" applyAlignment="1">
      <alignment horizontal="center"/>
    </xf>
    <xf numFmtId="3" fontId="0" fillId="0" borderId="0" xfId="0" applyNumberFormat="1" applyProtection="1">
      <protection locked="0"/>
    </xf>
    <xf numFmtId="37" fontId="0" fillId="0" borderId="14" xfId="0" applyNumberFormat="1" applyBorder="1"/>
    <xf numFmtId="37" fontId="163" fillId="0" borderId="46" xfId="0" applyNumberFormat="1" applyFont="1" applyBorder="1"/>
    <xf numFmtId="37" fontId="163" fillId="0" borderId="0" xfId="0" applyNumberFormat="1" applyFont="1"/>
    <xf numFmtId="188" fontId="16" fillId="0" borderId="0" xfId="254" applyNumberFormat="1" applyFont="1"/>
    <xf numFmtId="3" fontId="16" fillId="0" borderId="0" xfId="0" applyNumberFormat="1" applyFont="1" applyAlignment="1">
      <alignment horizontal="center"/>
    </xf>
    <xf numFmtId="4" fontId="16" fillId="0" borderId="0" xfId="0" applyNumberFormat="1" applyFont="1" applyAlignment="1">
      <alignment horizontal="center"/>
    </xf>
    <xf numFmtId="0" fontId="164" fillId="0" borderId="0" xfId="264" applyNumberFormat="1" applyFont="1" applyAlignment="1" applyProtection="1">
      <alignment horizontal="center"/>
    </xf>
    <xf numFmtId="172" fontId="165" fillId="0" borderId="0" xfId="264" applyFont="1" applyProtection="1"/>
    <xf numFmtId="200" fontId="12" fillId="31" borderId="0" xfId="254" applyNumberFormat="1" applyFont="1" applyFill="1" applyProtection="1">
      <protection locked="0"/>
    </xf>
    <xf numFmtId="0" fontId="166" fillId="0" borderId="0" xfId="0" applyFont="1" applyAlignment="1">
      <alignment horizontal="left"/>
    </xf>
    <xf numFmtId="10" fontId="75" fillId="31" borderId="0" xfId="273" applyNumberFormat="1" applyFont="1" applyFill="1" applyAlignment="1" applyProtection="1">
      <alignment horizontal="center"/>
      <protection locked="0"/>
    </xf>
    <xf numFmtId="173" fontId="22" fillId="0" borderId="0" xfId="265" applyNumberFormat="1" applyFont="1"/>
    <xf numFmtId="0" fontId="22" fillId="0" borderId="0" xfId="265" applyFont="1" applyAlignment="1">
      <alignment horizontal="center" vertical="center"/>
    </xf>
    <xf numFmtId="0" fontId="22" fillId="0" borderId="0" xfId="265" applyFont="1" applyAlignment="1">
      <alignment vertical="center"/>
    </xf>
    <xf numFmtId="0" fontId="167" fillId="0" borderId="0" xfId="265" applyFont="1" applyAlignment="1">
      <alignment horizontal="right"/>
    </xf>
    <xf numFmtId="173" fontId="167" fillId="0" borderId="0" xfId="265" applyNumberFormat="1" applyFont="1"/>
    <xf numFmtId="0" fontId="22" fillId="0" borderId="0" xfId="265" applyFont="1" applyAlignment="1">
      <alignment horizontal="left" indent="2"/>
    </xf>
    <xf numFmtId="0" fontId="137" fillId="0" borderId="0" xfId="265" applyFont="1" applyAlignment="1">
      <alignment horizontal="center"/>
    </xf>
    <xf numFmtId="0" fontId="137" fillId="0" borderId="0" xfId="265" applyFont="1"/>
    <xf numFmtId="0" fontId="9" fillId="0" borderId="0" xfId="264" applyNumberFormat="1" applyFont="1" applyAlignment="1" applyProtection="1">
      <alignment horizontal="left" wrapText="1"/>
    </xf>
    <xf numFmtId="0" fontId="168" fillId="0" borderId="11" xfId="265" applyFont="1" applyBorder="1" applyAlignment="1">
      <alignment horizontal="center"/>
    </xf>
    <xf numFmtId="0" fontId="168" fillId="0" borderId="2" xfId="265" applyFont="1" applyBorder="1" applyAlignment="1">
      <alignment horizontal="center"/>
    </xf>
    <xf numFmtId="0" fontId="78" fillId="0" borderId="0" xfId="265" applyFont="1" applyAlignment="1">
      <alignment horizontal="center" vertical="center"/>
    </xf>
    <xf numFmtId="0" fontId="22" fillId="0" borderId="11" xfId="265" applyFont="1" applyBorder="1" applyAlignment="1">
      <alignment horizontal="center"/>
    </xf>
    <xf numFmtId="0" fontId="22" fillId="0" borderId="11" xfId="265" applyFont="1" applyBorder="1"/>
    <xf numFmtId="173" fontId="81" fillId="0" borderId="11" xfId="265" applyNumberFormat="1" applyFont="1" applyBorder="1" applyProtection="1">
      <protection locked="0"/>
    </xf>
    <xf numFmtId="173" fontId="75" fillId="0" borderId="11" xfId="265" applyNumberFormat="1" applyFont="1" applyBorder="1"/>
    <xf numFmtId="0" fontId="75" fillId="0" borderId="11" xfId="265" applyFont="1" applyBorder="1" applyAlignment="1" applyProtection="1">
      <alignment horizontal="center"/>
      <protection locked="0"/>
    </xf>
    <xf numFmtId="173" fontId="75" fillId="0" borderId="11" xfId="86" applyNumberFormat="1" applyFont="1" applyFill="1" applyBorder="1" applyAlignment="1" applyProtection="1">
      <alignment horizontal="center"/>
      <protection locked="0"/>
    </xf>
    <xf numFmtId="0" fontId="138" fillId="0" borderId="0" xfId="264" applyNumberFormat="1" applyFont="1" applyAlignment="1" applyProtection="1">
      <alignment horizontal="center"/>
    </xf>
    <xf numFmtId="172" fontId="164" fillId="0" borderId="0" xfId="264" applyFont="1" applyProtection="1"/>
    <xf numFmtId="0" fontId="12" fillId="31" borderId="0" xfId="89" applyNumberFormat="1" applyFont="1" applyFill="1" applyBorder="1" applyAlignment="1" applyProtection="1">
      <alignment horizontal="center"/>
      <protection locked="0"/>
    </xf>
    <xf numFmtId="3" fontId="10" fillId="0" borderId="0" xfId="264" applyNumberFormat="1" applyFont="1" applyAlignment="1" applyProtection="1">
      <alignment horizontal="center" vertical="center"/>
    </xf>
    <xf numFmtId="3" fontId="18" fillId="0" borderId="0" xfId="264" applyNumberFormat="1" applyFont="1" applyAlignment="1" applyProtection="1">
      <alignment horizontal="center"/>
    </xf>
    <xf numFmtId="41" fontId="9" fillId="0" borderId="40" xfId="264" applyNumberFormat="1" applyFont="1" applyBorder="1" applyProtection="1"/>
    <xf numFmtId="0" fontId="67" fillId="0" borderId="0" xfId="0" applyFont="1"/>
    <xf numFmtId="3" fontId="13" fillId="0" borderId="0" xfId="0" applyNumberFormat="1" applyFont="1" applyAlignment="1">
      <alignment horizontal="left"/>
    </xf>
    <xf numFmtId="0" fontId="16" fillId="0" borderId="0" xfId="0" applyFont="1" applyAlignment="1">
      <alignment horizontal="left"/>
    </xf>
    <xf numFmtId="0" fontId="17" fillId="0" borderId="0" xfId="0" applyFont="1" applyAlignment="1">
      <alignment horizontal="left"/>
    </xf>
    <xf numFmtId="0" fontId="16" fillId="0" borderId="0" xfId="0" applyFont="1" applyAlignment="1">
      <alignment vertical="top"/>
    </xf>
    <xf numFmtId="0" fontId="107" fillId="0" borderId="0" xfId="0" applyFont="1" applyAlignment="1">
      <alignment horizontal="center"/>
    </xf>
    <xf numFmtId="0" fontId="16" fillId="0" borderId="0" xfId="268" applyFont="1" applyAlignment="1">
      <alignment horizontal="center"/>
    </xf>
    <xf numFmtId="38" fontId="12" fillId="0" borderId="0" xfId="0" applyNumberFormat="1" applyFont="1" applyProtection="1">
      <protection locked="0"/>
    </xf>
    <xf numFmtId="0" fontId="10" fillId="0" borderId="0" xfId="255" applyFont="1"/>
    <xf numFmtId="0" fontId="77" fillId="0" borderId="0" xfId="265" applyFont="1" applyAlignment="1">
      <alignment vertical="center" wrapText="1"/>
    </xf>
    <xf numFmtId="0" fontId="10" fillId="0" borderId="0" xfId="254" quotePrefix="1" applyFont="1" applyAlignment="1">
      <alignment horizontal="center"/>
    </xf>
    <xf numFmtId="0" fontId="8" fillId="0" borderId="11" xfId="265" applyFont="1" applyBorder="1" applyAlignment="1">
      <alignment horizontal="center" wrapText="1"/>
    </xf>
    <xf numFmtId="0" fontId="8" fillId="0" borderId="11" xfId="265" applyFont="1" applyBorder="1" applyAlignment="1">
      <alignment horizontal="center" vertical="center"/>
    </xf>
    <xf numFmtId="185" fontId="8" fillId="0" borderId="11" xfId="265" applyNumberFormat="1" applyFont="1" applyBorder="1" applyAlignment="1">
      <alignment horizontal="center" vertical="center" wrapText="1"/>
    </xf>
    <xf numFmtId="0" fontId="8" fillId="0" borderId="11" xfId="265" applyFont="1" applyBorder="1" applyAlignment="1">
      <alignment horizontal="center" vertical="center" wrapText="1"/>
    </xf>
    <xf numFmtId="185" fontId="8" fillId="0" borderId="11" xfId="265" applyNumberFormat="1" applyFont="1" applyBorder="1" applyAlignment="1">
      <alignment horizontal="center" vertical="center"/>
    </xf>
    <xf numFmtId="0" fontId="16" fillId="0" borderId="0" xfId="0" applyFont="1" applyAlignment="1">
      <alignment vertical="center"/>
    </xf>
    <xf numFmtId="173" fontId="8" fillId="0" borderId="11" xfId="265" applyNumberFormat="1" applyFont="1" applyBorder="1" applyAlignment="1">
      <alignment vertical="center"/>
    </xf>
    <xf numFmtId="173" fontId="78" fillId="0" borderId="0" xfId="265" applyNumberFormat="1" applyFont="1" applyAlignment="1">
      <alignment vertical="center"/>
    </xf>
    <xf numFmtId="0" fontId="8" fillId="0" borderId="0" xfId="265" applyFont="1" applyAlignment="1">
      <alignment horizontal="right" vertical="center"/>
    </xf>
    <xf numFmtId="0" fontId="75" fillId="0" borderId="0" xfId="265" applyFont="1" applyAlignment="1">
      <alignment wrapText="1"/>
    </xf>
    <xf numFmtId="0" fontId="16" fillId="0" borderId="0" xfId="258" applyFont="1" applyAlignment="1">
      <alignment horizontal="left"/>
    </xf>
    <xf numFmtId="0" fontId="16" fillId="0" borderId="0" xfId="187" applyAlignment="1">
      <alignment wrapText="1"/>
    </xf>
    <xf numFmtId="173" fontId="75" fillId="0" borderId="0" xfId="86" applyNumberFormat="1" applyFont="1" applyFill="1" applyAlignment="1" applyProtection="1">
      <alignment horizontal="center"/>
      <protection locked="0"/>
    </xf>
    <xf numFmtId="173" fontId="16" fillId="0" borderId="0" xfId="265" applyNumberFormat="1" applyFont="1"/>
    <xf numFmtId="0" fontId="16" fillId="0" borderId="0" xfId="169"/>
    <xf numFmtId="0" fontId="110" fillId="0" borderId="0" xfId="266" applyFont="1" applyProtection="1">
      <protection locked="0"/>
    </xf>
    <xf numFmtId="0" fontId="80" fillId="0" borderId="0" xfId="266" applyFont="1"/>
    <xf numFmtId="0" fontId="113" fillId="0" borderId="0" xfId="266" applyFont="1" applyProtection="1">
      <protection locked="0"/>
    </xf>
    <xf numFmtId="0" fontId="110" fillId="0" borderId="16" xfId="266" applyFont="1" applyBorder="1" applyProtection="1">
      <protection locked="0"/>
    </xf>
    <xf numFmtId="0" fontId="115" fillId="0" borderId="0" xfId="266" applyFont="1" applyProtection="1">
      <protection locked="0"/>
    </xf>
    <xf numFmtId="0" fontId="117" fillId="0" borderId="0" xfId="266" applyFont="1"/>
    <xf numFmtId="0" fontId="140" fillId="0" borderId="0" xfId="266" applyFont="1" applyAlignment="1">
      <alignment horizontal="center"/>
    </xf>
    <xf numFmtId="0" fontId="16" fillId="0" borderId="0" xfId="169" applyAlignment="1">
      <alignment wrapText="1"/>
    </xf>
    <xf numFmtId="10" fontId="7" fillId="0" borderId="0" xfId="266" applyNumberFormat="1" applyAlignment="1">
      <alignment horizontal="center"/>
    </xf>
    <xf numFmtId="0" fontId="114" fillId="0" borderId="0" xfId="266" applyFont="1"/>
    <xf numFmtId="0" fontId="7" fillId="0" borderId="0" xfId="266" applyAlignment="1">
      <alignment horizontal="center"/>
    </xf>
    <xf numFmtId="10" fontId="7" fillId="0" borderId="0" xfId="266" applyNumberFormat="1" applyAlignment="1">
      <alignment horizontal="right"/>
    </xf>
    <xf numFmtId="196" fontId="80" fillId="0" borderId="0" xfId="266" applyNumberFormat="1" applyFont="1"/>
    <xf numFmtId="10" fontId="80" fillId="0" borderId="0" xfId="266" applyNumberFormat="1" applyFont="1"/>
    <xf numFmtId="0" fontId="114" fillId="0" borderId="30" xfId="266" applyFont="1" applyBorder="1"/>
    <xf numFmtId="0" fontId="110" fillId="0" borderId="30" xfId="266" applyFont="1" applyBorder="1" applyProtection="1">
      <protection locked="0"/>
    </xf>
    <xf numFmtId="10" fontId="7" fillId="0" borderId="30" xfId="266" applyNumberFormat="1" applyBorder="1"/>
    <xf numFmtId="0" fontId="9" fillId="0" borderId="0" xfId="0" applyFont="1" applyAlignment="1">
      <alignment horizontal="left" indent="1"/>
    </xf>
    <xf numFmtId="10" fontId="9" fillId="0" borderId="0" xfId="218" applyNumberFormat="1" applyFont="1" applyAlignment="1">
      <alignment horizontal="center"/>
    </xf>
    <xf numFmtId="0" fontId="10" fillId="0" borderId="0" xfId="187" applyFont="1" applyAlignment="1">
      <alignment horizontal="right"/>
    </xf>
    <xf numFmtId="10" fontId="9" fillId="0" borderId="0" xfId="218" applyNumberFormat="1" applyFont="1" applyAlignment="1">
      <alignment horizontal="right"/>
    </xf>
    <xf numFmtId="177" fontId="9" fillId="0" borderId="0" xfId="86" applyNumberFormat="1" applyFont="1" applyAlignment="1">
      <alignment horizontal="center"/>
    </xf>
    <xf numFmtId="0" fontId="16" fillId="0" borderId="32" xfId="0" applyFont="1" applyBorder="1" applyAlignment="1">
      <alignment horizontal="center"/>
    </xf>
    <xf numFmtId="0" fontId="16" fillId="0" borderId="31" xfId="267" applyBorder="1" applyAlignment="1">
      <alignment horizontal="right"/>
    </xf>
    <xf numFmtId="0" fontId="142" fillId="0" borderId="0" xfId="0" applyFont="1" applyAlignment="1">
      <alignment vertical="center"/>
    </xf>
    <xf numFmtId="0" fontId="143" fillId="0" borderId="0" xfId="0" applyFont="1"/>
    <xf numFmtId="0" fontId="138" fillId="0" borderId="0" xfId="0" applyFont="1"/>
    <xf numFmtId="0" fontId="138" fillId="0" borderId="0" xfId="0" applyFont="1" applyAlignment="1">
      <alignment horizontal="left"/>
    </xf>
    <xf numFmtId="0" fontId="138" fillId="0" borderId="0" xfId="215" applyFont="1" applyAlignment="1">
      <alignment horizontal="center"/>
    </xf>
    <xf numFmtId="0" fontId="143" fillId="0" borderId="0" xfId="0" applyFont="1" applyAlignment="1">
      <alignment horizontal="center"/>
    </xf>
    <xf numFmtId="0" fontId="144" fillId="0" borderId="0" xfId="215" applyFont="1"/>
    <xf numFmtId="0" fontId="138" fillId="0" borderId="0" xfId="215" applyFont="1" applyAlignment="1">
      <alignment horizontal="left"/>
    </xf>
    <xf numFmtId="0" fontId="138" fillId="0" borderId="0" xfId="215" applyFont="1"/>
    <xf numFmtId="3" fontId="138" fillId="0" borderId="0" xfId="0" applyNumberFormat="1" applyFont="1"/>
    <xf numFmtId="3" fontId="138" fillId="0" borderId="0" xfId="0" applyNumberFormat="1" applyFont="1" applyAlignment="1">
      <alignment horizontal="left"/>
    </xf>
    <xf numFmtId="0" fontId="145" fillId="0" borderId="0" xfId="0" applyFont="1" applyAlignment="1">
      <alignment horizontal="center"/>
    </xf>
    <xf numFmtId="0" fontId="146" fillId="0" borderId="0" xfId="0" applyFont="1"/>
    <xf numFmtId="0" fontId="145" fillId="0" borderId="0" xfId="0" applyFont="1" applyAlignment="1">
      <alignment wrapText="1"/>
    </xf>
    <xf numFmtId="0" fontId="145" fillId="0" borderId="0" xfId="0" applyFont="1"/>
    <xf numFmtId="41" fontId="143" fillId="0" borderId="0" xfId="0" applyNumberFormat="1" applyFont="1"/>
    <xf numFmtId="41" fontId="146" fillId="0" borderId="0" xfId="0" applyNumberFormat="1" applyFont="1"/>
    <xf numFmtId="0" fontId="147" fillId="0" borderId="0" xfId="0" applyFont="1" applyAlignment="1">
      <alignment horizontal="center"/>
    </xf>
    <xf numFmtId="0" fontId="148" fillId="0" borderId="0" xfId="0" applyFont="1" applyAlignment="1">
      <alignment horizontal="center"/>
    </xf>
    <xf numFmtId="0" fontId="149" fillId="0" borderId="0" xfId="0" applyFont="1" applyAlignment="1">
      <alignment horizontal="center"/>
    </xf>
    <xf numFmtId="173" fontId="143" fillId="0" borderId="0" xfId="0" applyNumberFormat="1" applyFont="1"/>
    <xf numFmtId="0" fontId="143" fillId="0" borderId="0" xfId="0" applyFont="1" applyAlignment="1">
      <alignment wrapText="1"/>
    </xf>
    <xf numFmtId="0" fontId="143" fillId="0" borderId="11" xfId="0" applyFont="1" applyBorder="1"/>
    <xf numFmtId="0" fontId="146" fillId="0" borderId="11" xfId="0" applyFont="1" applyBorder="1"/>
    <xf numFmtId="0" fontId="146" fillId="0" borderId="0" xfId="0" applyFont="1" applyAlignment="1">
      <alignment horizontal="center"/>
    </xf>
    <xf numFmtId="192" fontId="146" fillId="0" borderId="0" xfId="112" applyNumberFormat="1" applyFont="1" applyAlignment="1">
      <alignment horizontal="center"/>
    </xf>
    <xf numFmtId="173" fontId="143" fillId="0" borderId="14" xfId="0" applyNumberFormat="1" applyFont="1" applyBorder="1"/>
    <xf numFmtId="173" fontId="146" fillId="0" borderId="14" xfId="0" applyNumberFormat="1" applyFont="1" applyBorder="1"/>
    <xf numFmtId="41" fontId="143" fillId="0" borderId="14" xfId="0" applyNumberFormat="1" applyFont="1" applyBorder="1"/>
    <xf numFmtId="43" fontId="146" fillId="0" borderId="0" xfId="0" applyNumberFormat="1" applyFont="1"/>
    <xf numFmtId="0" fontId="145" fillId="0" borderId="0" xfId="0" applyFont="1" applyAlignment="1">
      <alignment horizontal="center" wrapText="1"/>
    </xf>
    <xf numFmtId="43" fontId="145" fillId="0" borderId="0" xfId="112" applyFont="1" applyAlignment="1">
      <alignment horizontal="center" wrapText="1"/>
    </xf>
    <xf numFmtId="173" fontId="143" fillId="0" borderId="0" xfId="112" applyNumberFormat="1" applyFont="1"/>
    <xf numFmtId="173" fontId="145" fillId="0" borderId="0" xfId="112" applyNumberFormat="1" applyFont="1" applyAlignment="1">
      <alignment horizontal="center" wrapText="1"/>
    </xf>
    <xf numFmtId="173" fontId="145" fillId="0" borderId="0" xfId="112" applyNumberFormat="1" applyFont="1"/>
    <xf numFmtId="173" fontId="145" fillId="0" borderId="0" xfId="112" applyNumberFormat="1" applyFont="1" applyAlignment="1">
      <alignment horizontal="center"/>
    </xf>
    <xf numFmtId="10" fontId="143" fillId="0" borderId="0" xfId="295" applyNumberFormat="1" applyFont="1"/>
    <xf numFmtId="173" fontId="143" fillId="0" borderId="11" xfId="0" applyNumberFormat="1" applyFont="1" applyBorder="1"/>
    <xf numFmtId="173" fontId="143" fillId="0" borderId="11" xfId="112" applyNumberFormat="1" applyFont="1" applyBorder="1"/>
    <xf numFmtId="0" fontId="9" fillId="0" borderId="0" xfId="264" applyNumberFormat="1" applyFont="1" applyAlignment="1" applyProtection="1">
      <alignment horizontal="left" indent="4"/>
    </xf>
    <xf numFmtId="41" fontId="23" fillId="0" borderId="0" xfId="264" applyNumberFormat="1" applyFont="1" applyProtection="1">
      <protection locked="0"/>
    </xf>
    <xf numFmtId="0" fontId="16" fillId="31" borderId="0" xfId="215" applyFill="1" applyProtection="1">
      <protection locked="0"/>
    </xf>
    <xf numFmtId="1" fontId="67" fillId="31" borderId="0" xfId="0" quotePrefix="1" applyNumberFormat="1" applyFont="1" applyFill="1" applyAlignment="1" applyProtection="1">
      <alignment horizontal="left"/>
      <protection locked="0"/>
    </xf>
    <xf numFmtId="0" fontId="23" fillId="31" borderId="0" xfId="256" applyFont="1" applyFill="1" applyAlignment="1" applyProtection="1">
      <alignment horizontal="center"/>
      <protection locked="0"/>
    </xf>
    <xf numFmtId="41" fontId="23" fillId="31" borderId="0" xfId="256" applyNumberFormat="1" applyFont="1" applyFill="1" applyProtection="1">
      <protection locked="0"/>
    </xf>
    <xf numFmtId="41" fontId="23" fillId="31" borderId="11" xfId="256" applyNumberFormat="1" applyFont="1" applyFill="1" applyBorder="1" applyProtection="1">
      <protection locked="0"/>
    </xf>
    <xf numFmtId="0" fontId="12" fillId="31" borderId="0" xfId="256" applyFont="1" applyFill="1" applyProtection="1">
      <protection locked="0"/>
    </xf>
    <xf numFmtId="173" fontId="16" fillId="0" borderId="0" xfId="88" applyNumberFormat="1" applyFont="1" applyProtection="1"/>
    <xf numFmtId="173" fontId="16" fillId="0" borderId="0" xfId="88" applyNumberFormat="1" applyFont="1" applyBorder="1" applyProtection="1"/>
    <xf numFmtId="0" fontId="23" fillId="31" borderId="0" xfId="88" applyNumberFormat="1" applyFont="1" applyFill="1" applyAlignment="1" applyProtection="1">
      <alignment horizontal="left"/>
    </xf>
    <xf numFmtId="173" fontId="13" fillId="0" borderId="25" xfId="88" applyNumberFormat="1" applyFont="1" applyBorder="1" applyProtection="1"/>
    <xf numFmtId="0" fontId="9" fillId="0" borderId="0" xfId="88" applyNumberFormat="1" applyFont="1" applyFill="1" applyAlignment="1" applyProtection="1">
      <alignment horizontal="left"/>
    </xf>
    <xf numFmtId="0" fontId="9" fillId="0" borderId="0" xfId="88" applyNumberFormat="1" applyFont="1" applyFill="1" applyBorder="1" applyAlignment="1" applyProtection="1">
      <alignment horizontal="left"/>
    </xf>
    <xf numFmtId="0" fontId="10" fillId="0" borderId="0" xfId="88" applyNumberFormat="1" applyFont="1" applyFill="1" applyBorder="1" applyAlignment="1" applyProtection="1">
      <alignment horizontal="left"/>
    </xf>
    <xf numFmtId="173" fontId="13" fillId="0" borderId="29" xfId="88" applyNumberFormat="1" applyFont="1" applyBorder="1" applyProtection="1"/>
    <xf numFmtId="173" fontId="13" fillId="0" borderId="19" xfId="88" applyNumberFormat="1" applyFont="1" applyBorder="1" applyProtection="1"/>
    <xf numFmtId="173" fontId="16" fillId="0" borderId="6" xfId="88" applyNumberFormat="1" applyFont="1" applyBorder="1" applyProtection="1"/>
    <xf numFmtId="173" fontId="16" fillId="0" borderId="20" xfId="88" applyNumberFormat="1" applyFont="1" applyBorder="1" applyProtection="1"/>
    <xf numFmtId="173" fontId="16" fillId="0" borderId="0" xfId="88" applyNumberFormat="1" applyFont="1" applyFill="1" applyAlignment="1" applyProtection="1"/>
    <xf numFmtId="173" fontId="161" fillId="31" borderId="18" xfId="88" applyNumberFormat="1" applyFont="1" applyFill="1" applyBorder="1" applyAlignment="1" applyProtection="1">
      <alignment horizontal="right"/>
      <protection locked="0"/>
    </xf>
    <xf numFmtId="173" fontId="12" fillId="0" borderId="18" xfId="0" applyNumberFormat="1" applyFont="1" applyBorder="1" applyAlignment="1">
      <alignment horizontal="right"/>
    </xf>
    <xf numFmtId="173" fontId="13" fillId="0" borderId="0" xfId="88" applyNumberFormat="1" applyFont="1" applyBorder="1" applyAlignment="1" applyProtection="1">
      <alignment horizontal="center" wrapText="1"/>
    </xf>
    <xf numFmtId="173" fontId="13" fillId="0" borderId="26" xfId="88" applyNumberFormat="1" applyFont="1" applyBorder="1" applyAlignment="1" applyProtection="1">
      <alignment horizontal="center" wrapText="1"/>
    </xf>
    <xf numFmtId="173" fontId="13" fillId="0" borderId="25" xfId="88" applyNumberFormat="1" applyFont="1" applyBorder="1" applyAlignment="1" applyProtection="1">
      <alignment horizontal="center" wrapText="1"/>
    </xf>
    <xf numFmtId="173" fontId="13" fillId="27" borderId="26" xfId="88" applyNumberFormat="1" applyFont="1" applyFill="1" applyBorder="1" applyAlignment="1" applyProtection="1">
      <alignment horizontal="center" wrapText="1"/>
    </xf>
    <xf numFmtId="173" fontId="13" fillId="0" borderId="28" xfId="88" applyNumberFormat="1" applyFont="1" applyBorder="1" applyAlignment="1" applyProtection="1">
      <alignment horizontal="center"/>
    </xf>
    <xf numFmtId="173" fontId="13" fillId="0" borderId="20" xfId="88" applyNumberFormat="1" applyFont="1" applyBorder="1" applyAlignment="1" applyProtection="1">
      <alignment horizontal="center"/>
    </xf>
    <xf numFmtId="173" fontId="13" fillId="27" borderId="28" xfId="88" applyNumberFormat="1" applyFont="1" applyFill="1" applyBorder="1" applyAlignment="1" applyProtection="1">
      <alignment horizontal="center"/>
    </xf>
    <xf numFmtId="173" fontId="16" fillId="0" borderId="27" xfId="88" applyNumberFormat="1" applyFont="1" applyBorder="1" applyProtection="1"/>
    <xf numFmtId="173" fontId="16" fillId="0" borderId="27" xfId="88" applyNumberFormat="1" applyFont="1" applyFill="1" applyBorder="1" applyProtection="1"/>
    <xf numFmtId="173" fontId="16" fillId="0" borderId="18" xfId="88" applyNumberFormat="1" applyFont="1" applyFill="1" applyBorder="1" applyAlignment="1" applyProtection="1">
      <alignment horizontal="left" indent="3"/>
    </xf>
    <xf numFmtId="173" fontId="16" fillId="0" borderId="18" xfId="88" applyNumberFormat="1" applyFont="1" applyBorder="1" applyProtection="1"/>
    <xf numFmtId="174" fontId="161" fillId="31" borderId="27" xfId="0" applyNumberFormat="1" applyFont="1" applyFill="1" applyBorder="1" applyProtection="1">
      <protection locked="0"/>
    </xf>
    <xf numFmtId="0" fontId="16" fillId="33" borderId="27" xfId="0" applyFont="1" applyFill="1" applyBorder="1" applyAlignment="1">
      <alignment horizontal="center"/>
    </xf>
    <xf numFmtId="173" fontId="16" fillId="30" borderId="0" xfId="0" applyNumberFormat="1" applyFont="1" applyFill="1"/>
    <xf numFmtId="173" fontId="16" fillId="30" borderId="27" xfId="0" applyNumberFormat="1" applyFont="1" applyFill="1" applyBorder="1"/>
    <xf numFmtId="173" fontId="16" fillId="30" borderId="27" xfId="88" applyNumberFormat="1" applyFont="1" applyFill="1" applyBorder="1" applyProtection="1"/>
    <xf numFmtId="173" fontId="16" fillId="30" borderId="18" xfId="88" applyNumberFormat="1" applyFont="1" applyFill="1" applyBorder="1" applyProtection="1"/>
    <xf numFmtId="174" fontId="16" fillId="30" borderId="27" xfId="0" applyNumberFormat="1" applyFont="1" applyFill="1" applyBorder="1"/>
    <xf numFmtId="173" fontId="16" fillId="0" borderId="28" xfId="88" applyNumberFormat="1" applyFont="1" applyBorder="1" applyProtection="1"/>
    <xf numFmtId="173" fontId="16" fillId="0" borderId="0" xfId="88" applyNumberFormat="1" applyProtection="1"/>
    <xf numFmtId="0" fontId="23" fillId="31" borderId="0" xfId="88" applyNumberFormat="1" applyFont="1" applyFill="1" applyAlignment="1" applyProtection="1">
      <alignment horizontal="left"/>
      <protection locked="0"/>
    </xf>
    <xf numFmtId="174" fontId="161" fillId="31" borderId="26" xfId="0" applyNumberFormat="1" applyFont="1" applyFill="1" applyBorder="1" applyProtection="1">
      <protection locked="0"/>
    </xf>
    <xf numFmtId="0" fontId="152" fillId="0" borderId="0" xfId="0" applyFont="1" applyAlignment="1">
      <alignment horizontal="right"/>
    </xf>
    <xf numFmtId="0" fontId="152" fillId="0" borderId="0" xfId="0" applyFont="1" applyAlignment="1">
      <alignment horizontal="left"/>
    </xf>
    <xf numFmtId="173" fontId="12" fillId="31" borderId="18" xfId="88" applyNumberFormat="1" applyFont="1" applyFill="1" applyBorder="1" applyAlignment="1" applyProtection="1">
      <alignment horizontal="right"/>
      <protection locked="0"/>
    </xf>
    <xf numFmtId="0" fontId="12" fillId="31" borderId="0" xfId="0" applyFont="1" applyFill="1" applyProtection="1">
      <protection locked="0"/>
    </xf>
    <xf numFmtId="173" fontId="16" fillId="30" borderId="19" xfId="0" applyNumberFormat="1" applyFont="1" applyFill="1" applyBorder="1"/>
    <xf numFmtId="173" fontId="16" fillId="30" borderId="28" xfId="0" applyNumberFormat="1" applyFont="1" applyFill="1" applyBorder="1"/>
    <xf numFmtId="0" fontId="169" fillId="31" borderId="0" xfId="0" applyFont="1" applyFill="1" applyAlignment="1" applyProtection="1">
      <alignment horizontal="left"/>
      <protection locked="0"/>
    </xf>
    <xf numFmtId="173" fontId="16" fillId="0" borderId="27" xfId="88" applyNumberFormat="1" applyFont="1" applyBorder="1" applyAlignment="1" applyProtection="1">
      <alignment horizontal="left" indent="2"/>
    </xf>
    <xf numFmtId="43" fontId="16" fillId="0" borderId="27" xfId="88" applyFont="1" applyBorder="1" applyProtection="1"/>
    <xf numFmtId="173" fontId="16" fillId="30" borderId="18" xfId="0" applyNumberFormat="1" applyFont="1" applyFill="1" applyBorder="1" applyAlignment="1">
      <alignment horizontal="right"/>
    </xf>
    <xf numFmtId="173" fontId="16" fillId="0" borderId="27" xfId="88" applyNumberFormat="1" applyFont="1" applyFill="1" applyBorder="1" applyAlignment="1" applyProtection="1">
      <alignment horizontal="left" indent="2"/>
    </xf>
    <xf numFmtId="173" fontId="16" fillId="0" borderId="18" xfId="88" applyNumberFormat="1" applyFont="1" applyFill="1" applyBorder="1" applyAlignment="1" applyProtection="1">
      <alignment horizontal="left" indent="5"/>
    </xf>
    <xf numFmtId="0" fontId="169" fillId="31" borderId="0" xfId="0" applyFont="1" applyFill="1" applyProtection="1">
      <protection locked="0"/>
    </xf>
    <xf numFmtId="0" fontId="16" fillId="30" borderId="27" xfId="0" applyFont="1" applyFill="1" applyBorder="1" applyAlignment="1">
      <alignment horizontal="center"/>
    </xf>
    <xf numFmtId="173" fontId="150" fillId="31" borderId="0" xfId="113" applyNumberFormat="1" applyFont="1" applyFill="1" applyProtection="1">
      <protection locked="0"/>
    </xf>
    <xf numFmtId="0" fontId="0" fillId="0" borderId="11" xfId="0" applyBorder="1"/>
    <xf numFmtId="0" fontId="19" fillId="0" borderId="11" xfId="0" applyFont="1" applyBorder="1"/>
    <xf numFmtId="173" fontId="16" fillId="0" borderId="11" xfId="88" applyNumberFormat="1" applyFont="1" applyBorder="1" applyProtection="1"/>
    <xf numFmtId="174" fontId="16" fillId="0" borderId="11" xfId="0" applyNumberFormat="1" applyFont="1" applyBorder="1"/>
    <xf numFmtId="173" fontId="150" fillId="31" borderId="11" xfId="113" applyNumberFormat="1" applyFont="1" applyFill="1" applyBorder="1" applyProtection="1">
      <protection locked="0"/>
    </xf>
    <xf numFmtId="187" fontId="23" fillId="30" borderId="0" xfId="273" applyNumberFormat="1" applyFont="1" applyFill="1"/>
    <xf numFmtId="10" fontId="9" fillId="0" borderId="44" xfId="264" applyNumberFormat="1" applyFont="1" applyBorder="1" applyProtection="1"/>
    <xf numFmtId="9" fontId="9" fillId="0" borderId="0" xfId="0" applyNumberFormat="1" applyFont="1"/>
    <xf numFmtId="0" fontId="112" fillId="0" borderId="0" xfId="266" applyFont="1" applyProtection="1">
      <protection locked="0"/>
    </xf>
    <xf numFmtId="176" fontId="110" fillId="0" borderId="0" xfId="266" applyNumberFormat="1" applyFont="1" applyProtection="1">
      <protection locked="0"/>
    </xf>
    <xf numFmtId="0" fontId="116" fillId="0" borderId="0" xfId="266" applyFont="1"/>
    <xf numFmtId="173" fontId="16" fillId="0" borderId="47" xfId="0" applyNumberFormat="1" applyFont="1" applyBorder="1"/>
    <xf numFmtId="0" fontId="0" fillId="30" borderId="0" xfId="0" applyFill="1"/>
    <xf numFmtId="0" fontId="169" fillId="30" borderId="0" xfId="0" applyFont="1" applyFill="1" applyProtection="1">
      <protection locked="0"/>
    </xf>
    <xf numFmtId="0" fontId="12" fillId="31" borderId="0" xfId="259" applyFont="1" applyFill="1" applyAlignment="1" applyProtection="1">
      <alignment horizontal="center"/>
      <protection locked="0"/>
    </xf>
    <xf numFmtId="173" fontId="16" fillId="0" borderId="48" xfId="0" applyNumberFormat="1" applyFont="1" applyBorder="1"/>
    <xf numFmtId="0" fontId="81" fillId="31" borderId="0" xfId="265" applyFont="1" applyFill="1" applyAlignment="1" applyProtection="1">
      <alignment horizontal="center"/>
      <protection locked="0"/>
    </xf>
    <xf numFmtId="41" fontId="12" fillId="0" borderId="0" xfId="254" applyNumberFormat="1" applyFont="1" applyProtection="1">
      <protection locked="0"/>
    </xf>
    <xf numFmtId="173" fontId="161" fillId="31" borderId="20" xfId="88" applyNumberFormat="1" applyFont="1" applyFill="1" applyBorder="1" applyAlignment="1" applyProtection="1">
      <alignment horizontal="right"/>
      <protection locked="0"/>
    </xf>
    <xf numFmtId="0" fontId="10" fillId="0" borderId="0" xfId="265" applyFont="1"/>
    <xf numFmtId="0" fontId="14" fillId="0" borderId="0" xfId="265" applyFont="1"/>
    <xf numFmtId="173" fontId="170" fillId="0" borderId="0" xfId="265" applyNumberFormat="1" applyFont="1"/>
    <xf numFmtId="185" fontId="23" fillId="0" borderId="0" xfId="265" applyNumberFormat="1" applyFont="1"/>
    <xf numFmtId="173" fontId="88" fillId="0" borderId="0" xfId="265" applyNumberFormat="1" applyFont="1"/>
    <xf numFmtId="39" fontId="9" fillId="0" borderId="0" xfId="261" applyNumberFormat="1" applyFont="1"/>
    <xf numFmtId="39" fontId="9" fillId="0" borderId="0" xfId="262" applyNumberFormat="1" applyFont="1"/>
    <xf numFmtId="173" fontId="9" fillId="0" borderId="14" xfId="86" applyNumberFormat="1" applyFont="1" applyBorder="1"/>
    <xf numFmtId="0" fontId="9" fillId="30" borderId="0" xfId="265" applyFont="1" applyFill="1"/>
    <xf numFmtId="0" fontId="18" fillId="30" borderId="0" xfId="265" applyFont="1" applyFill="1" applyAlignment="1">
      <alignment horizontal="center"/>
    </xf>
    <xf numFmtId="0" fontId="18" fillId="0" borderId="0" xfId="265" applyFont="1" applyAlignment="1">
      <alignment horizontal="center"/>
    </xf>
    <xf numFmtId="0" fontId="156" fillId="30" borderId="0" xfId="265" applyFont="1" applyFill="1"/>
    <xf numFmtId="41" fontId="156" fillId="30" borderId="0" xfId="265" applyNumberFormat="1" applyFont="1" applyFill="1"/>
    <xf numFmtId="41" fontId="9" fillId="0" borderId="0" xfId="265" applyNumberFormat="1" applyFont="1"/>
    <xf numFmtId="0" fontId="10" fillId="30" borderId="0" xfId="265" applyFont="1" applyFill="1"/>
    <xf numFmtId="41" fontId="9" fillId="30" borderId="0" xfId="265" applyNumberFormat="1" applyFont="1" applyFill="1"/>
    <xf numFmtId="10" fontId="9" fillId="30" borderId="0" xfId="274" applyNumberFormat="1" applyFont="1" applyFill="1"/>
    <xf numFmtId="164" fontId="9" fillId="0" borderId="0" xfId="274" applyNumberFormat="1" applyFont="1" applyFill="1"/>
    <xf numFmtId="10" fontId="23" fillId="30" borderId="11" xfId="274" applyNumberFormat="1" applyFont="1" applyFill="1" applyBorder="1" applyProtection="1">
      <protection locked="0"/>
    </xf>
    <xf numFmtId="41" fontId="23" fillId="30" borderId="11" xfId="265" applyNumberFormat="1" applyFont="1" applyFill="1" applyBorder="1" applyProtection="1">
      <protection locked="0"/>
    </xf>
    <xf numFmtId="173" fontId="9" fillId="30" borderId="0" xfId="265" applyNumberFormat="1" applyFont="1" applyFill="1"/>
    <xf numFmtId="9" fontId="23" fillId="30" borderId="11" xfId="274" applyFont="1" applyFill="1" applyBorder="1" applyProtection="1">
      <protection locked="0"/>
    </xf>
    <xf numFmtId="9" fontId="9" fillId="30" borderId="0" xfId="274" applyFont="1" applyFill="1"/>
    <xf numFmtId="0" fontId="158" fillId="0" borderId="0" xfId="265" applyFont="1"/>
    <xf numFmtId="10" fontId="9" fillId="30" borderId="11" xfId="274" applyNumberFormat="1" applyFont="1" applyFill="1" applyBorder="1"/>
    <xf numFmtId="173" fontId="9" fillId="30" borderId="0" xfId="88" applyNumberFormat="1" applyFont="1" applyFill="1"/>
    <xf numFmtId="10" fontId="9" fillId="30" borderId="0" xfId="274" applyNumberFormat="1" applyFont="1" applyFill="1" applyBorder="1"/>
    <xf numFmtId="0" fontId="9" fillId="30" borderId="0" xfId="0" applyFont="1" applyFill="1"/>
    <xf numFmtId="0" fontId="9" fillId="30" borderId="11" xfId="265" applyFont="1" applyFill="1" applyBorder="1"/>
    <xf numFmtId="41" fontId="157" fillId="30" borderId="11" xfId="265" applyNumberFormat="1" applyFont="1" applyFill="1" applyBorder="1"/>
    <xf numFmtId="41" fontId="22" fillId="30" borderId="0" xfId="265" applyNumberFormat="1" applyFont="1" applyFill="1"/>
    <xf numFmtId="0" fontId="22" fillId="30" borderId="0" xfId="265" applyFont="1" applyFill="1"/>
    <xf numFmtId="173" fontId="22" fillId="0" borderId="0" xfId="88" applyNumberFormat="1" applyFont="1" applyFill="1" applyBorder="1"/>
    <xf numFmtId="41" fontId="22" fillId="0" borderId="0" xfId="265" applyNumberFormat="1" applyFont="1"/>
    <xf numFmtId="0" fontId="12" fillId="31" borderId="0" xfId="89" quotePrefix="1" applyNumberFormat="1" applyFont="1" applyFill="1" applyBorder="1" applyAlignment="1" applyProtection="1">
      <alignment horizontal="center"/>
      <protection locked="0"/>
    </xf>
    <xf numFmtId="0" fontId="80" fillId="0" borderId="30" xfId="266" applyFont="1" applyBorder="1" applyAlignment="1">
      <alignment horizontal="center"/>
    </xf>
    <xf numFmtId="0" fontId="114" fillId="0" borderId="16" xfId="0" applyFont="1" applyBorder="1"/>
    <xf numFmtId="0" fontId="110" fillId="0" borderId="16" xfId="0" applyFont="1" applyBorder="1" applyProtection="1">
      <protection locked="0"/>
    </xf>
    <xf numFmtId="194" fontId="0" fillId="0" borderId="16" xfId="0" applyNumberFormat="1" applyBorder="1"/>
    <xf numFmtId="176" fontId="0" fillId="0" borderId="16" xfId="0" applyNumberFormat="1" applyBorder="1"/>
    <xf numFmtId="176" fontId="0" fillId="0" borderId="16" xfId="0" applyNumberFormat="1" applyBorder="1" applyAlignment="1">
      <alignment horizontal="center"/>
    </xf>
    <xf numFmtId="0" fontId="114" fillId="0" borderId="30" xfId="0" applyFont="1" applyBorder="1"/>
    <xf numFmtId="0" fontId="110" fillId="0" borderId="30" xfId="0" applyFont="1" applyBorder="1" applyProtection="1">
      <protection locked="0"/>
    </xf>
    <xf numFmtId="10" fontId="0" fillId="0" borderId="30" xfId="0" applyNumberFormat="1" applyBorder="1"/>
    <xf numFmtId="194" fontId="0" fillId="0" borderId="30" xfId="0" applyNumberFormat="1" applyBorder="1"/>
    <xf numFmtId="176" fontId="0" fillId="0" borderId="30" xfId="0" applyNumberFormat="1" applyBorder="1"/>
    <xf numFmtId="0" fontId="28" fillId="0" borderId="0" xfId="345" applyFont="1"/>
    <xf numFmtId="0" fontId="28" fillId="0" borderId="0" xfId="345" applyFont="1" applyAlignment="1">
      <alignment horizontal="center"/>
    </xf>
    <xf numFmtId="0" fontId="28" fillId="0" borderId="0" xfId="169" applyFont="1"/>
    <xf numFmtId="172" fontId="171" fillId="0" borderId="0" xfId="350"/>
    <xf numFmtId="0" fontId="28" fillId="0" borderId="0" xfId="354" applyFont="1"/>
    <xf numFmtId="0" fontId="28" fillId="0" borderId="0" xfId="354" applyFont="1" applyAlignment="1">
      <alignment horizontal="center"/>
    </xf>
    <xf numFmtId="14" fontId="28" fillId="0" borderId="0" xfId="354" applyNumberFormat="1" applyFont="1"/>
    <xf numFmtId="9" fontId="28" fillId="0" borderId="0" xfId="346" applyFont="1"/>
    <xf numFmtId="41" fontId="28" fillId="0" borderId="0" xfId="354" applyNumberFormat="1" applyFont="1"/>
    <xf numFmtId="10" fontId="28" fillId="0" borderId="0" xfId="275" applyNumberFormat="1" applyFont="1"/>
    <xf numFmtId="172" fontId="28" fillId="0" borderId="0" xfId="350" applyFont="1"/>
    <xf numFmtId="0" fontId="29" fillId="0" borderId="0" xfId="354" applyFont="1"/>
    <xf numFmtId="0" fontId="28" fillId="0" borderId="11" xfId="354" applyFont="1" applyBorder="1"/>
    <xf numFmtId="0" fontId="29" fillId="0" borderId="11" xfId="354" applyFont="1" applyBorder="1" applyAlignment="1">
      <alignment horizontal="center"/>
    </xf>
    <xf numFmtId="0" fontId="29" fillId="0" borderId="11" xfId="354" applyFont="1" applyBorder="1" applyAlignment="1">
      <alignment horizontal="center" wrapText="1"/>
    </xf>
    <xf numFmtId="0" fontId="29" fillId="0" borderId="0" xfId="354" applyFont="1" applyAlignment="1">
      <alignment horizontal="center"/>
    </xf>
    <xf numFmtId="0" fontId="29" fillId="0" borderId="0" xfId="354" applyFont="1" applyAlignment="1">
      <alignment horizontal="center" wrapText="1"/>
    </xf>
    <xf numFmtId="0" fontId="29" fillId="0" borderId="0" xfId="354" applyFont="1" applyAlignment="1">
      <alignment horizontal="left"/>
    </xf>
    <xf numFmtId="0" fontId="28" fillId="34" borderId="0" xfId="354" applyFont="1" applyFill="1"/>
    <xf numFmtId="41" fontId="28" fillId="31" borderId="53" xfId="256" applyNumberFormat="1" applyFont="1" applyFill="1" applyBorder="1" applyProtection="1">
      <protection locked="0"/>
    </xf>
    <xf numFmtId="173" fontId="28" fillId="35" borderId="53" xfId="355" applyNumberFormat="1" applyFont="1" applyFill="1" applyBorder="1"/>
    <xf numFmtId="173" fontId="28" fillId="0" borderId="54" xfId="355" applyNumberFormat="1" applyFont="1" applyFill="1" applyBorder="1"/>
    <xf numFmtId="173" fontId="28" fillId="0" borderId="53" xfId="355" applyNumberFormat="1" applyFont="1" applyFill="1" applyBorder="1"/>
    <xf numFmtId="41" fontId="28" fillId="31" borderId="0" xfId="256" applyNumberFormat="1" applyFont="1" applyFill="1" applyProtection="1">
      <protection locked="0"/>
    </xf>
    <xf numFmtId="41" fontId="28" fillId="0" borderId="0" xfId="354" applyNumberFormat="1" applyFont="1" applyAlignment="1">
      <alignment horizontal="center"/>
    </xf>
    <xf numFmtId="173" fontId="28" fillId="35" borderId="54" xfId="355" applyNumberFormat="1" applyFont="1" applyFill="1" applyBorder="1"/>
    <xf numFmtId="173" fontId="28" fillId="0" borderId="0" xfId="349" applyNumberFormat="1" applyFont="1" applyBorder="1" applyAlignment="1">
      <alignment horizontal="center"/>
    </xf>
    <xf numFmtId="173" fontId="28" fillId="0" borderId="0" xfId="355" applyNumberFormat="1" applyFont="1" applyFill="1" applyBorder="1"/>
    <xf numFmtId="0" fontId="28" fillId="0" borderId="0" xfId="354" applyFont="1" applyAlignment="1">
      <alignment wrapText="1"/>
    </xf>
    <xf numFmtId="173" fontId="28" fillId="35" borderId="0" xfId="355" applyNumberFormat="1" applyFont="1" applyFill="1" applyBorder="1"/>
    <xf numFmtId="41" fontId="28" fillId="31" borderId="55" xfId="256" applyNumberFormat="1" applyFont="1" applyFill="1" applyBorder="1" applyProtection="1">
      <protection locked="0"/>
    </xf>
    <xf numFmtId="173" fontId="28" fillId="0" borderId="0" xfId="355" applyNumberFormat="1" applyFont="1" applyBorder="1" applyAlignment="1">
      <alignment wrapText="1"/>
    </xf>
    <xf numFmtId="1" fontId="28" fillId="0" borderId="56" xfId="349" applyNumberFormat="1" applyFont="1" applyBorder="1" applyAlignment="1"/>
    <xf numFmtId="173" fontId="28" fillId="0" borderId="56" xfId="349" applyNumberFormat="1" applyFont="1" applyBorder="1" applyAlignment="1"/>
    <xf numFmtId="177" fontId="28" fillId="0" borderId="56" xfId="349" applyNumberFormat="1" applyFont="1" applyBorder="1" applyAlignment="1"/>
    <xf numFmtId="173" fontId="28" fillId="0" borderId="0" xfId="355" applyNumberFormat="1" applyFont="1" applyAlignment="1">
      <alignment wrapText="1"/>
    </xf>
    <xf numFmtId="1" fontId="28" fillId="0" borderId="0" xfId="349" applyNumberFormat="1" applyFont="1" applyBorder="1" applyAlignment="1"/>
    <xf numFmtId="177" fontId="28" fillId="0" borderId="0" xfId="349" applyNumberFormat="1" applyFont="1" applyBorder="1" applyAlignment="1"/>
    <xf numFmtId="173" fontId="28" fillId="0" borderId="57" xfId="349" applyNumberFormat="1" applyFont="1" applyBorder="1" applyAlignment="1">
      <alignment horizontal="center"/>
    </xf>
    <xf numFmtId="173" fontId="28" fillId="0" borderId="0" xfId="349" applyNumberFormat="1" applyFont="1" applyBorder="1" applyAlignment="1"/>
    <xf numFmtId="0" fontId="28" fillId="0" borderId="0" xfId="354" applyFont="1" applyAlignment="1">
      <alignment horizontal="left" vertical="center"/>
    </xf>
    <xf numFmtId="0" fontId="28" fillId="0" borderId="0" xfId="354" applyFont="1" applyAlignment="1">
      <alignment vertical="top" wrapText="1"/>
    </xf>
    <xf numFmtId="173" fontId="28" fillId="0" borderId="0" xfId="354" applyNumberFormat="1" applyFont="1"/>
    <xf numFmtId="0" fontId="28" fillId="0" borderId="0" xfId="354" applyFont="1" applyAlignment="1">
      <alignment vertical="top"/>
    </xf>
    <xf numFmtId="0" fontId="28" fillId="0" borderId="0" xfId="354" applyFont="1" applyAlignment="1">
      <alignment horizontal="left"/>
    </xf>
    <xf numFmtId="0" fontId="29" fillId="0" borderId="0" xfId="354" applyFont="1" applyAlignment="1">
      <alignment horizontal="left" vertical="center"/>
    </xf>
    <xf numFmtId="173" fontId="28" fillId="0" borderId="0" xfId="354" applyNumberFormat="1" applyFont="1" applyAlignment="1">
      <alignment horizontal="left" vertical="center"/>
    </xf>
    <xf numFmtId="49" fontId="28" fillId="0" borderId="0" xfId="354" applyNumberFormat="1" applyFont="1" applyAlignment="1">
      <alignment horizontal="center"/>
    </xf>
    <xf numFmtId="41" fontId="28" fillId="31" borderId="34" xfId="256" applyNumberFormat="1" applyFont="1" applyFill="1" applyBorder="1" applyAlignment="1" applyProtection="1">
      <alignment vertical="top"/>
      <protection locked="0"/>
    </xf>
    <xf numFmtId="0" fontId="16" fillId="0" borderId="0" xfId="354" applyFont="1" applyAlignment="1">
      <alignment horizontal="right"/>
    </xf>
    <xf numFmtId="41" fontId="28" fillId="31" borderId="51" xfId="256" applyNumberFormat="1" applyFont="1" applyFill="1" applyBorder="1" applyProtection="1">
      <protection locked="0"/>
    </xf>
    <xf numFmtId="173" fontId="28" fillId="35" borderId="51" xfId="355" applyNumberFormat="1" applyFont="1" applyFill="1" applyBorder="1"/>
    <xf numFmtId="173" fontId="28" fillId="0" borderId="52" xfId="355" applyNumberFormat="1" applyFont="1" applyFill="1" applyBorder="1"/>
    <xf numFmtId="41" fontId="28" fillId="31" borderId="42" xfId="256" applyNumberFormat="1" applyFont="1" applyFill="1" applyBorder="1" applyProtection="1">
      <protection locked="0"/>
    </xf>
    <xf numFmtId="172" fontId="28" fillId="0" borderId="0" xfId="169" applyNumberFormat="1" applyFont="1"/>
    <xf numFmtId="172" fontId="173" fillId="0" borderId="0" xfId="350" applyFont="1"/>
    <xf numFmtId="173" fontId="28" fillId="0" borderId="56" xfId="349" applyNumberFormat="1" applyFont="1" applyFill="1" applyBorder="1" applyAlignment="1"/>
    <xf numFmtId="173" fontId="29" fillId="0" borderId="0" xfId="354" applyNumberFormat="1" applyFont="1" applyAlignment="1">
      <alignment horizontal="center"/>
    </xf>
    <xf numFmtId="173" fontId="150" fillId="31" borderId="0" xfId="449" applyNumberFormat="1" applyFont="1" applyFill="1" applyProtection="1">
      <protection locked="0"/>
    </xf>
    <xf numFmtId="41" fontId="146" fillId="0" borderId="0" xfId="606" applyNumberFormat="1" applyFont="1"/>
    <xf numFmtId="176" fontId="122" fillId="31" borderId="0" xfId="645" applyNumberFormat="1" applyFont="1" applyFill="1" applyProtection="1">
      <protection locked="0"/>
    </xf>
    <xf numFmtId="173" fontId="28" fillId="0" borderId="66" xfId="355" applyNumberFormat="1" applyFont="1" applyFill="1" applyBorder="1"/>
    <xf numFmtId="173" fontId="28" fillId="0" borderId="51" xfId="355" applyNumberFormat="1" applyFont="1" applyFill="1" applyBorder="1"/>
    <xf numFmtId="173" fontId="28" fillId="0" borderId="61" xfId="355" applyNumberFormat="1" applyFont="1" applyFill="1" applyBorder="1"/>
    <xf numFmtId="164" fontId="143" fillId="26" borderId="0" xfId="645" applyNumberFormat="1" applyFont="1" applyFill="1" applyProtection="1">
      <protection locked="0"/>
    </xf>
    <xf numFmtId="164" fontId="143" fillId="26" borderId="11" xfId="645" applyNumberFormat="1" applyFont="1" applyFill="1" applyBorder="1" applyProtection="1">
      <protection locked="0"/>
    </xf>
    <xf numFmtId="0" fontId="6" fillId="0" borderId="0" xfId="638"/>
    <xf numFmtId="10" fontId="0" fillId="0" borderId="16" xfId="0" applyNumberFormat="1" applyBorder="1" applyAlignment="1">
      <alignment horizontal="center"/>
    </xf>
    <xf numFmtId="0" fontId="114" fillId="0" borderId="0" xfId="0" applyFont="1"/>
    <xf numFmtId="0" fontId="110" fillId="0" borderId="0" xfId="0" applyFont="1" applyProtection="1">
      <protection locked="0"/>
    </xf>
    <xf numFmtId="0" fontId="176" fillId="0" borderId="0" xfId="0" applyFont="1" applyAlignment="1">
      <alignment horizontal="center"/>
    </xf>
    <xf numFmtId="0" fontId="9" fillId="0" borderId="0" xfId="654" applyFont="1"/>
    <xf numFmtId="0" fontId="6" fillId="0" borderId="0" xfId="654"/>
    <xf numFmtId="0" fontId="6" fillId="0" borderId="0" xfId="654" applyAlignment="1">
      <alignment horizontal="center"/>
    </xf>
    <xf numFmtId="0" fontId="6" fillId="0" borderId="0" xfId="0" applyFont="1" applyAlignment="1">
      <alignment horizontal="center"/>
    </xf>
    <xf numFmtId="0" fontId="13" fillId="0" borderId="0" xfId="257" applyFont="1" applyAlignment="1">
      <alignment horizontal="center" wrapText="1"/>
    </xf>
    <xf numFmtId="164" fontId="9" fillId="0" borderId="0" xfId="0" applyNumberFormat="1" applyFont="1"/>
    <xf numFmtId="2" fontId="6" fillId="0" borderId="0" xfId="505" applyNumberFormat="1"/>
    <xf numFmtId="0" fontId="6" fillId="0" borderId="0" xfId="505"/>
    <xf numFmtId="0" fontId="9" fillId="0" borderId="0" xfId="505" applyFont="1" applyAlignment="1">
      <alignment horizontal="right"/>
    </xf>
    <xf numFmtId="172" fontId="28" fillId="0" borderId="0" xfId="655" applyFont="1" applyAlignment="1">
      <alignment horizontal="right"/>
    </xf>
    <xf numFmtId="2" fontId="6" fillId="0" borderId="0" xfId="656" applyNumberFormat="1" applyFont="1"/>
    <xf numFmtId="0" fontId="6" fillId="0" borderId="0" xfId="505" applyAlignment="1">
      <alignment horizontal="right"/>
    </xf>
    <xf numFmtId="172" fontId="6" fillId="0" borderId="0" xfId="655" applyFont="1" applyAlignment="1">
      <alignment horizontal="right"/>
    </xf>
    <xf numFmtId="2" fontId="6" fillId="0" borderId="0" xfId="505" applyNumberFormat="1" applyAlignment="1">
      <alignment horizontal="center"/>
    </xf>
    <xf numFmtId="0" fontId="6" fillId="0" borderId="0" xfId="505" applyAlignment="1">
      <alignment horizontal="center"/>
    </xf>
    <xf numFmtId="0" fontId="6" fillId="0" borderId="0" xfId="505" applyAlignment="1">
      <alignment wrapText="1"/>
    </xf>
    <xf numFmtId="0" fontId="6" fillId="0" borderId="0" xfId="505" applyAlignment="1">
      <alignment horizontal="center" wrapText="1"/>
    </xf>
    <xf numFmtId="2" fontId="13" fillId="0" borderId="0" xfId="505" applyNumberFormat="1" applyFont="1"/>
    <xf numFmtId="173" fontId="6" fillId="0" borderId="0" xfId="424" applyNumberFormat="1" applyFont="1"/>
    <xf numFmtId="173" fontId="6" fillId="0" borderId="0" xfId="424" applyNumberFormat="1" applyFont="1" applyFill="1"/>
    <xf numFmtId="1" fontId="6" fillId="0" borderId="0" xfId="505" applyNumberFormat="1" applyAlignment="1">
      <alignment horizontal="center"/>
    </xf>
    <xf numFmtId="49" fontId="6" fillId="0" borderId="0" xfId="424" applyNumberFormat="1" applyFont="1"/>
    <xf numFmtId="10" fontId="6" fillId="0" borderId="0" xfId="645" applyNumberFormat="1" applyFont="1" applyFill="1"/>
    <xf numFmtId="173" fontId="6" fillId="0" borderId="0" xfId="424" applyNumberFormat="1" applyFont="1" applyAlignment="1">
      <alignment vertical="center"/>
    </xf>
    <xf numFmtId="173" fontId="6" fillId="0" borderId="0" xfId="424" applyNumberFormat="1" applyFont="1" applyAlignment="1">
      <alignment horizontal="left" wrapText="1"/>
    </xf>
    <xf numFmtId="173" fontId="6" fillId="0" borderId="11" xfId="424" applyNumberFormat="1" applyFont="1" applyBorder="1"/>
    <xf numFmtId="9" fontId="6" fillId="0" borderId="0" xfId="645" applyFont="1" applyFill="1"/>
    <xf numFmtId="10" fontId="6" fillId="0" borderId="0" xfId="645" applyNumberFormat="1" applyFont="1" applyFill="1" applyAlignment="1"/>
    <xf numFmtId="201" fontId="6" fillId="0" borderId="0" xfId="424" applyNumberFormat="1" applyFont="1" applyFill="1"/>
    <xf numFmtId="43" fontId="6" fillId="0" borderId="0" xfId="424" applyFont="1" applyFill="1"/>
    <xf numFmtId="0" fontId="6" fillId="0" borderId="0" xfId="505" quotePrefix="1"/>
    <xf numFmtId="173" fontId="6" fillId="0" borderId="70" xfId="424" applyNumberFormat="1" applyFont="1" applyFill="1" applyBorder="1"/>
    <xf numFmtId="173" fontId="6" fillId="0" borderId="0" xfId="424" applyNumberFormat="1" applyFont="1" applyFill="1" applyBorder="1"/>
    <xf numFmtId="1" fontId="13" fillId="0" borderId="0" xfId="505" applyNumberFormat="1" applyFont="1" applyAlignment="1">
      <alignment horizontal="left"/>
    </xf>
    <xf numFmtId="173" fontId="6" fillId="0" borderId="0" xfId="424" applyNumberFormat="1" applyFont="1" applyBorder="1"/>
    <xf numFmtId="173" fontId="28" fillId="0" borderId="0" xfId="424" applyNumberFormat="1" applyFont="1" applyBorder="1" applyAlignment="1">
      <alignment horizontal="center"/>
    </xf>
    <xf numFmtId="173" fontId="0" fillId="0" borderId="0" xfId="424" applyNumberFormat="1" applyFont="1"/>
    <xf numFmtId="173" fontId="143" fillId="31" borderId="0" xfId="449" applyNumberFormat="1" applyFont="1" applyFill="1" applyProtection="1">
      <protection locked="0"/>
    </xf>
    <xf numFmtId="0" fontId="29" fillId="0" borderId="71" xfId="354" applyFont="1" applyBorder="1" applyAlignment="1">
      <alignment horizontal="center" wrapText="1"/>
    </xf>
    <xf numFmtId="41" fontId="23" fillId="0" borderId="0" xfId="254" applyNumberFormat="1" applyFont="1"/>
    <xf numFmtId="10" fontId="23" fillId="31" borderId="0" xfId="0" applyNumberFormat="1" applyFont="1" applyFill="1" applyProtection="1">
      <protection locked="0"/>
    </xf>
    <xf numFmtId="10" fontId="23" fillId="31" borderId="11" xfId="0" applyNumberFormat="1" applyFont="1" applyFill="1" applyBorder="1" applyProtection="1">
      <protection locked="0"/>
    </xf>
    <xf numFmtId="10" fontId="9" fillId="0" borderId="14" xfId="0" applyNumberFormat="1" applyFont="1" applyBorder="1"/>
    <xf numFmtId="41" fontId="23" fillId="0" borderId="11" xfId="254" applyNumberFormat="1" applyFont="1" applyBorder="1"/>
    <xf numFmtId="41" fontId="12" fillId="36" borderId="0" xfId="254" applyNumberFormat="1" applyFont="1" applyFill="1" applyProtection="1">
      <protection locked="0"/>
    </xf>
    <xf numFmtId="37" fontId="0" fillId="36" borderId="0" xfId="0" applyNumberFormat="1" applyFill="1"/>
    <xf numFmtId="9" fontId="23" fillId="0" borderId="11" xfId="274" applyFont="1" applyFill="1" applyBorder="1" applyProtection="1">
      <protection locked="0"/>
    </xf>
    <xf numFmtId="9" fontId="9" fillId="0" borderId="0" xfId="274" applyFont="1" applyFill="1"/>
    <xf numFmtId="173" fontId="16" fillId="0" borderId="15" xfId="0" applyNumberFormat="1" applyFont="1" applyBorder="1"/>
    <xf numFmtId="174" fontId="16" fillId="31" borderId="6" xfId="0" applyNumberFormat="1" applyFont="1" applyFill="1" applyBorder="1" applyProtection="1">
      <protection locked="0"/>
    </xf>
    <xf numFmtId="176" fontId="0" fillId="0" borderId="0" xfId="0" quotePrefix="1" applyNumberFormat="1" applyAlignment="1">
      <alignment horizontal="left"/>
    </xf>
    <xf numFmtId="176" fontId="0" fillId="0" borderId="0" xfId="0" applyNumberFormat="1"/>
    <xf numFmtId="176" fontId="0" fillId="0" borderId="0" xfId="0" quotePrefix="1" applyNumberFormat="1" applyAlignment="1">
      <alignment horizontal="right"/>
    </xf>
    <xf numFmtId="0" fontId="115" fillId="0" borderId="0" xfId="0" applyFont="1" applyAlignment="1" applyProtection="1">
      <alignment horizontal="right"/>
      <protection locked="0"/>
    </xf>
    <xf numFmtId="0" fontId="115" fillId="0" borderId="0" xfId="0" applyFont="1" applyProtection="1">
      <protection locked="0"/>
    </xf>
    <xf numFmtId="10" fontId="116" fillId="0" borderId="0" xfId="0" applyNumberFormat="1" applyFont="1"/>
    <xf numFmtId="0" fontId="116" fillId="0" borderId="0" xfId="0" applyFont="1"/>
    <xf numFmtId="0" fontId="116" fillId="0" borderId="0" xfId="0" applyFont="1" applyAlignment="1">
      <alignment horizontal="right"/>
    </xf>
    <xf numFmtId="0" fontId="46" fillId="0" borderId="0" xfId="0" applyFont="1"/>
    <xf numFmtId="202" fontId="0" fillId="0" borderId="0" xfId="0" applyNumberFormat="1" applyAlignment="1">
      <alignment horizontal="centerContinuous"/>
    </xf>
    <xf numFmtId="0" fontId="0" fillId="0" borderId="0" xfId="0" applyAlignment="1">
      <alignment horizontal="centerContinuous"/>
    </xf>
    <xf numFmtId="0" fontId="7" fillId="0" borderId="0" xfId="266" applyAlignment="1">
      <alignment horizontal="left"/>
    </xf>
    <xf numFmtId="194" fontId="7" fillId="0" borderId="0" xfId="266" applyNumberFormat="1"/>
    <xf numFmtId="10" fontId="0" fillId="0" borderId="16" xfId="0" applyNumberFormat="1" applyBorder="1"/>
    <xf numFmtId="43" fontId="16" fillId="0" borderId="0" xfId="265" applyNumberFormat="1" applyFont="1"/>
    <xf numFmtId="0" fontId="6" fillId="0" borderId="0" xfId="530" applyAlignment="1">
      <alignment horizontal="center"/>
    </xf>
    <xf numFmtId="38" fontId="6" fillId="0" borderId="0" xfId="0" applyNumberFormat="1" applyFont="1"/>
    <xf numFmtId="3" fontId="6" fillId="0" borderId="0" xfId="530" applyNumberFormat="1"/>
    <xf numFmtId="37" fontId="6" fillId="29" borderId="0" xfId="0" applyNumberFormat="1" applyFont="1" applyFill="1" applyProtection="1">
      <protection locked="0"/>
    </xf>
    <xf numFmtId="173" fontId="6" fillId="0" borderId="0" xfId="86" applyNumberFormat="1" applyFont="1" applyFill="1"/>
    <xf numFmtId="3" fontId="28" fillId="0" borderId="11" xfId="530" applyNumberFormat="1" applyFont="1" applyBorder="1" applyAlignment="1">
      <alignment horizontal="center" wrapText="1"/>
    </xf>
    <xf numFmtId="3" fontId="28" fillId="0" borderId="37" xfId="530" applyNumberFormat="1" applyFont="1" applyBorder="1" applyAlignment="1">
      <alignment horizontal="center" wrapText="1"/>
    </xf>
    <xf numFmtId="173" fontId="6" fillId="0" borderId="72" xfId="424" applyNumberFormat="1" applyFont="1" applyBorder="1"/>
    <xf numFmtId="173" fontId="6" fillId="0" borderId="31" xfId="424" applyNumberFormat="1" applyFont="1" applyBorder="1"/>
    <xf numFmtId="0" fontId="13" fillId="0" borderId="0" xfId="253" applyFont="1" applyAlignment="1">
      <alignment horizontal="center" wrapText="1"/>
    </xf>
    <xf numFmtId="173" fontId="12" fillId="31" borderId="0" xfId="424" applyNumberFormat="1" applyFont="1" applyFill="1" applyBorder="1" applyAlignment="1">
      <alignment horizontal="right"/>
    </xf>
    <xf numFmtId="173" fontId="12" fillId="31" borderId="76" xfId="424" applyNumberFormat="1" applyFont="1" applyFill="1" applyBorder="1" applyAlignment="1">
      <alignment horizontal="right"/>
    </xf>
    <xf numFmtId="0" fontId="6" fillId="0" borderId="76" xfId="0" applyFont="1" applyBorder="1"/>
    <xf numFmtId="0" fontId="6" fillId="0" borderId="77" xfId="0" applyFont="1" applyBorder="1"/>
    <xf numFmtId="3" fontId="6" fillId="0" borderId="11" xfId="530" applyNumberFormat="1" applyBorder="1" applyAlignment="1">
      <alignment horizontal="center" wrapText="1"/>
    </xf>
    <xf numFmtId="3" fontId="6" fillId="0" borderId="37" xfId="530" applyNumberFormat="1" applyBorder="1" applyAlignment="1">
      <alignment horizontal="center" wrapText="1"/>
    </xf>
    <xf numFmtId="0" fontId="6" fillId="0" borderId="78" xfId="0" applyFont="1" applyBorder="1"/>
    <xf numFmtId="3" fontId="6" fillId="0" borderId="35" xfId="530" applyNumberFormat="1" applyBorder="1" applyAlignment="1">
      <alignment horizontal="center" wrapText="1"/>
    </xf>
    <xf numFmtId="173" fontId="9" fillId="0" borderId="0" xfId="86" applyNumberFormat="1" applyFont="1" applyFill="1" applyBorder="1" applyAlignment="1" applyProtection="1"/>
    <xf numFmtId="41" fontId="9" fillId="29" borderId="0" xfId="264" applyNumberFormat="1" applyFont="1" applyFill="1" applyProtection="1">
      <protection locked="0"/>
    </xf>
    <xf numFmtId="3" fontId="9" fillId="29" borderId="0" xfId="264" applyNumberFormat="1" applyFont="1" applyFill="1" applyProtection="1">
      <protection locked="0"/>
    </xf>
    <xf numFmtId="41" fontId="23" fillId="29" borderId="0" xfId="264" applyNumberFormat="1" applyFont="1" applyFill="1" applyProtection="1">
      <protection locked="0"/>
    </xf>
    <xf numFmtId="49" fontId="28" fillId="0" borderId="0" xfId="345" applyNumberFormat="1" applyFont="1" applyAlignment="1">
      <alignment horizontal="center"/>
    </xf>
    <xf numFmtId="41" fontId="28" fillId="0" borderId="0" xfId="345" applyNumberFormat="1" applyFont="1" applyAlignment="1">
      <alignment horizontal="center"/>
    </xf>
    <xf numFmtId="0" fontId="29" fillId="0" borderId="0" xfId="345" applyFont="1"/>
    <xf numFmtId="173" fontId="28" fillId="35" borderId="61" xfId="614" applyNumberFormat="1" applyFont="1" applyFill="1" applyBorder="1"/>
    <xf numFmtId="41" fontId="28" fillId="31" borderId="61" xfId="657" applyNumberFormat="1" applyFont="1" applyFill="1" applyBorder="1" applyProtection="1">
      <protection locked="0"/>
    </xf>
    <xf numFmtId="173" fontId="28" fillId="35" borderId="73" xfId="614" applyNumberFormat="1" applyFont="1" applyFill="1" applyBorder="1"/>
    <xf numFmtId="173" fontId="28" fillId="0" borderId="73" xfId="614" applyNumberFormat="1" applyFont="1" applyFill="1" applyBorder="1"/>
    <xf numFmtId="0" fontId="28" fillId="0" borderId="0" xfId="607" applyFont="1"/>
    <xf numFmtId="49" fontId="6" fillId="0" borderId="0" xfId="607" applyNumberFormat="1" applyFont="1" applyAlignment="1">
      <alignment horizontal="center"/>
    </xf>
    <xf numFmtId="173" fontId="28" fillId="0" borderId="0" xfId="658" applyNumberFormat="1" applyFont="1" applyBorder="1" applyAlignment="1">
      <alignment horizontal="center"/>
    </xf>
    <xf numFmtId="0" fontId="29" fillId="0" borderId="0" xfId="607" applyFont="1"/>
    <xf numFmtId="0" fontId="177" fillId="0" borderId="0" xfId="607" applyFont="1"/>
    <xf numFmtId="173" fontId="28" fillId="37" borderId="73" xfId="614" applyNumberFormat="1" applyFont="1" applyFill="1" applyBorder="1"/>
    <xf numFmtId="41" fontId="28" fillId="0" borderId="61" xfId="638" applyNumberFormat="1" applyFont="1" applyBorder="1"/>
    <xf numFmtId="49" fontId="28" fillId="0" borderId="0" xfId="607" applyNumberFormat="1" applyFont="1" applyAlignment="1">
      <alignment horizontal="center"/>
    </xf>
    <xf numFmtId="0" fontId="28" fillId="0" borderId="0" xfId="345" applyFont="1" applyAlignment="1">
      <alignment wrapText="1"/>
    </xf>
    <xf numFmtId="41" fontId="28" fillId="31" borderId="75" xfId="657" applyNumberFormat="1" applyFont="1" applyFill="1" applyBorder="1" applyProtection="1">
      <protection locked="0"/>
    </xf>
    <xf numFmtId="173" fontId="12" fillId="31" borderId="77" xfId="424" applyNumberFormat="1" applyFont="1" applyFill="1" applyBorder="1" applyAlignment="1">
      <alignment horizontal="right"/>
    </xf>
    <xf numFmtId="173" fontId="12" fillId="31" borderId="33" xfId="424" applyNumberFormat="1" applyFont="1" applyFill="1" applyBorder="1" applyAlignment="1">
      <alignment horizontal="right"/>
    </xf>
    <xf numFmtId="0" fontId="9" fillId="0" borderId="0" xfId="0" applyFont="1" applyAlignment="1">
      <alignment horizontal="left" vertical="top" wrapText="1"/>
    </xf>
    <xf numFmtId="172" fontId="9" fillId="0" borderId="0" xfId="264" applyFont="1" applyAlignment="1" applyProtection="1">
      <alignment horizontal="left" wrapText="1"/>
    </xf>
    <xf numFmtId="0" fontId="9" fillId="0" borderId="0" xfId="264" applyNumberFormat="1" applyFont="1" applyAlignment="1" applyProtection="1">
      <alignment horizontal="left" wrapText="1"/>
    </xf>
    <xf numFmtId="0" fontId="9" fillId="0" borderId="0" xfId="264" applyNumberFormat="1" applyFont="1" applyAlignment="1" applyProtection="1">
      <alignment horizontal="left" vertical="top" wrapText="1"/>
    </xf>
    <xf numFmtId="172" fontId="30" fillId="0" borderId="0" xfId="264" applyFont="1" applyAlignment="1" applyProtection="1">
      <alignment vertical="top" wrapText="1"/>
    </xf>
    <xf numFmtId="0" fontId="30" fillId="0" borderId="0" xfId="0" applyFont="1" applyAlignment="1">
      <alignment vertical="top" wrapText="1"/>
    </xf>
    <xf numFmtId="172" fontId="9" fillId="0" borderId="0" xfId="264" applyFont="1" applyAlignment="1" applyProtection="1">
      <alignment horizontal="left"/>
    </xf>
    <xf numFmtId="3" fontId="9" fillId="0" borderId="0" xfId="264" applyNumberFormat="1" applyFont="1" applyAlignment="1" applyProtection="1">
      <alignment horizontal="left" wrapText="1"/>
    </xf>
    <xf numFmtId="0" fontId="16" fillId="0" borderId="0" xfId="0" applyFont="1" applyAlignment="1">
      <alignment horizontal="left" wrapText="1"/>
    </xf>
    <xf numFmtId="172" fontId="80" fillId="0" borderId="0" xfId="264" applyFont="1" applyAlignment="1" applyProtection="1">
      <alignment horizontal="left" wrapText="1"/>
    </xf>
    <xf numFmtId="49" fontId="9" fillId="0" borderId="0" xfId="264" applyNumberFormat="1" applyFont="1" applyAlignment="1" applyProtection="1">
      <alignment horizontal="center"/>
    </xf>
    <xf numFmtId="0" fontId="36" fillId="0" borderId="0" xfId="0" applyFont="1" applyAlignment="1">
      <alignment horizontal="center"/>
    </xf>
    <xf numFmtId="0" fontId="14" fillId="0" borderId="0" xfId="264" applyNumberFormat="1" applyFont="1" applyAlignment="1" applyProtection="1">
      <alignment horizontal="center"/>
    </xf>
    <xf numFmtId="0" fontId="17" fillId="0" borderId="0" xfId="0" applyFont="1"/>
    <xf numFmtId="0" fontId="0" fillId="0" borderId="0" xfId="0" applyAlignment="1">
      <alignment horizontal="center"/>
    </xf>
    <xf numFmtId="172" fontId="10" fillId="0" borderId="11" xfId="264" applyFont="1" applyBorder="1" applyAlignment="1" applyProtection="1">
      <alignment horizontal="center"/>
    </xf>
    <xf numFmtId="3" fontId="154" fillId="0" borderId="0" xfId="264" applyNumberFormat="1" applyFont="1" applyAlignment="1" applyProtection="1">
      <alignment horizontal="center"/>
    </xf>
    <xf numFmtId="0" fontId="9" fillId="0" borderId="0" xfId="0" applyFont="1" applyAlignment="1">
      <alignment wrapText="1"/>
    </xf>
    <xf numFmtId="0" fontId="16" fillId="0" borderId="0" xfId="0" applyFont="1" applyAlignment="1">
      <alignment wrapText="1"/>
    </xf>
    <xf numFmtId="172" fontId="138" fillId="0" borderId="0" xfId="264" applyFont="1" applyAlignment="1" applyProtection="1">
      <alignment vertical="top" wrapText="1"/>
    </xf>
    <xf numFmtId="0" fontId="134" fillId="0" borderId="0" xfId="0" applyFont="1" applyAlignment="1">
      <alignment vertical="top" wrapText="1"/>
    </xf>
    <xf numFmtId="172" fontId="30" fillId="0" borderId="0" xfId="264" applyFont="1" applyAlignment="1" applyProtection="1">
      <alignment wrapText="1"/>
    </xf>
    <xf numFmtId="172" fontId="9" fillId="0" borderId="0" xfId="264" applyFont="1" applyAlignment="1" applyProtection="1">
      <alignment vertical="top" wrapText="1"/>
    </xf>
    <xf numFmtId="0" fontId="9" fillId="0" borderId="0" xfId="0" applyFont="1" applyAlignment="1">
      <alignment vertical="top" wrapText="1"/>
    </xf>
    <xf numFmtId="172" fontId="118" fillId="0" borderId="0" xfId="264" applyFont="1" applyAlignment="1" applyProtection="1">
      <alignment wrapText="1"/>
    </xf>
    <xf numFmtId="0" fontId="36" fillId="0" borderId="0" xfId="0" applyFont="1" applyAlignment="1">
      <alignment wrapText="1"/>
    </xf>
    <xf numFmtId="0" fontId="30" fillId="0" borderId="0" xfId="264" applyNumberFormat="1" applyFont="1" applyAlignment="1" applyProtection="1">
      <alignment horizontal="left" wrapText="1"/>
    </xf>
    <xf numFmtId="0" fontId="9" fillId="0" borderId="0" xfId="0" applyFont="1" applyAlignment="1">
      <alignment horizontal="center"/>
    </xf>
    <xf numFmtId="0" fontId="9" fillId="0" borderId="0" xfId="215" applyFont="1" applyAlignment="1">
      <alignment horizontal="center"/>
    </xf>
    <xf numFmtId="3" fontId="9" fillId="0" borderId="0" xfId="215" applyNumberFormat="1" applyFont="1" applyAlignment="1">
      <alignment horizontal="center"/>
    </xf>
    <xf numFmtId="0" fontId="13" fillId="0" borderId="73" xfId="267" applyFont="1" applyBorder="1" applyAlignment="1">
      <alignment horizontal="center" wrapText="1"/>
    </xf>
    <xf numFmtId="0" fontId="13" fillId="0" borderId="74" xfId="267" applyFont="1" applyBorder="1" applyAlignment="1">
      <alignment horizontal="center" wrapText="1"/>
    </xf>
    <xf numFmtId="0" fontId="13" fillId="0" borderId="75" xfId="267" applyFont="1" applyBorder="1" applyAlignment="1">
      <alignment horizontal="center" wrapText="1"/>
    </xf>
    <xf numFmtId="0" fontId="16" fillId="0" borderId="0" xfId="215" applyAlignment="1">
      <alignment horizontal="left" wrapText="1"/>
    </xf>
    <xf numFmtId="0" fontId="21" fillId="0" borderId="0" xfId="254" applyFont="1" applyAlignment="1">
      <alignment horizontal="center" wrapText="1"/>
    </xf>
    <xf numFmtId="0" fontId="17" fillId="0" borderId="0" xfId="0" applyFont="1" applyAlignment="1">
      <alignment horizontal="center" wrapText="1"/>
    </xf>
    <xf numFmtId="3" fontId="9" fillId="0" borderId="0" xfId="0" applyNumberFormat="1" applyFont="1" applyAlignment="1">
      <alignment horizontal="center"/>
    </xf>
    <xf numFmtId="0" fontId="21" fillId="0" borderId="0" xfId="215" quotePrefix="1" applyFont="1" applyAlignment="1">
      <alignment horizontal="center" wrapText="1"/>
    </xf>
    <xf numFmtId="0" fontId="28" fillId="0" borderId="0" xfId="354" applyFont="1" applyAlignment="1">
      <alignment horizontal="left" vertical="top" wrapText="1"/>
    </xf>
    <xf numFmtId="0" fontId="29" fillId="0" borderId="0" xfId="354" applyFont="1" applyAlignment="1">
      <alignment horizontal="center" wrapText="1"/>
    </xf>
    <xf numFmtId="41" fontId="28" fillId="31" borderId="34" xfId="256" applyNumberFormat="1" applyFont="1" applyFill="1" applyBorder="1" applyAlignment="1" applyProtection="1">
      <alignment vertical="center"/>
      <protection locked="0"/>
    </xf>
    <xf numFmtId="41" fontId="28" fillId="31" borderId="34" xfId="256" applyNumberFormat="1" applyFont="1" applyFill="1" applyBorder="1" applyAlignment="1" applyProtection="1">
      <alignment horizontal="left" vertical="center" wrapText="1"/>
      <protection locked="0"/>
    </xf>
    <xf numFmtId="0" fontId="28" fillId="0" borderId="0" xfId="354" applyFont="1" applyAlignment="1">
      <alignment horizontal="left" wrapText="1"/>
    </xf>
    <xf numFmtId="0" fontId="28" fillId="0" borderId="0" xfId="354" applyFont="1" applyAlignment="1">
      <alignment horizontal="center" wrapText="1"/>
    </xf>
    <xf numFmtId="0" fontId="28" fillId="0" borderId="11" xfId="354" applyFont="1" applyBorder="1" applyAlignment="1">
      <alignment horizontal="center" wrapText="1"/>
    </xf>
    <xf numFmtId="0" fontId="28" fillId="0" borderId="11" xfId="354" applyFont="1" applyBorder="1" applyAlignment="1">
      <alignment horizontal="center"/>
    </xf>
    <xf numFmtId="172" fontId="28" fillId="0" borderId="11" xfId="350" applyFont="1" applyBorder="1" applyAlignment="1">
      <alignment horizontal="center"/>
    </xf>
    <xf numFmtId="0" fontId="6" fillId="0" borderId="0" xfId="505" applyAlignment="1">
      <alignment horizontal="left" wrapText="1"/>
    </xf>
    <xf numFmtId="2" fontId="6" fillId="0" borderId="0" xfId="505" applyNumberFormat="1" applyAlignment="1">
      <alignment horizontal="left" wrapText="1"/>
    </xf>
    <xf numFmtId="41" fontId="13" fillId="0" borderId="11" xfId="657" applyNumberFormat="1" applyFont="1" applyBorder="1" applyAlignment="1" applyProtection="1">
      <alignment horizontal="center"/>
      <protection locked="0"/>
    </xf>
    <xf numFmtId="10" fontId="6" fillId="0" borderId="0" xfId="645" applyNumberFormat="1" applyFont="1" applyFill="1" applyAlignment="1">
      <alignment horizontal="center" wrapText="1"/>
    </xf>
    <xf numFmtId="9" fontId="6" fillId="0" borderId="0" xfId="645" applyFont="1" applyFill="1" applyAlignment="1">
      <alignment horizontal="center" wrapText="1"/>
    </xf>
    <xf numFmtId="0" fontId="83" fillId="0" borderId="0" xfId="215" applyFont="1" applyAlignment="1">
      <alignment horizontal="center"/>
    </xf>
    <xf numFmtId="0" fontId="83" fillId="0" borderId="0" xfId="254" applyFont="1" applyAlignment="1">
      <alignment horizontal="center"/>
    </xf>
    <xf numFmtId="0" fontId="83" fillId="0" borderId="0" xfId="0" applyFont="1" applyAlignment="1">
      <alignment horizontal="center"/>
    </xf>
    <xf numFmtId="172" fontId="16" fillId="0" borderId="0" xfId="264" applyFont="1" applyAlignment="1" applyProtection="1">
      <alignment horizontal="left" vertical="top" wrapText="1"/>
    </xf>
    <xf numFmtId="0" fontId="13" fillId="0" borderId="0" xfId="268" applyFont="1" applyAlignment="1">
      <alignment wrapText="1"/>
    </xf>
    <xf numFmtId="3" fontId="8" fillId="0" borderId="0" xfId="0" applyNumberFormat="1" applyFont="1" applyAlignment="1">
      <alignment horizontal="center"/>
    </xf>
    <xf numFmtId="0" fontId="14" fillId="0" borderId="0" xfId="268" applyFont="1" applyAlignment="1">
      <alignment horizontal="center"/>
    </xf>
    <xf numFmtId="0" fontId="16" fillId="0" borderId="0" xfId="0" applyFont="1" applyAlignment="1">
      <alignment vertical="top" wrapText="1"/>
    </xf>
    <xf numFmtId="0" fontId="10" fillId="0" borderId="11" xfId="265" applyFont="1" applyBorder="1" applyAlignment="1">
      <alignment horizontal="center"/>
    </xf>
    <xf numFmtId="0" fontId="75" fillId="0" borderId="0" xfId="265" applyFont="1" applyAlignment="1">
      <alignment horizontal="left" wrapText="1"/>
    </xf>
    <xf numFmtId="0" fontId="75" fillId="0" borderId="0" xfId="265" applyFont="1" applyAlignment="1">
      <alignment wrapText="1"/>
    </xf>
    <xf numFmtId="0" fontId="8" fillId="0" borderId="0" xfId="215" applyFont="1" applyAlignment="1">
      <alignment horizontal="center"/>
    </xf>
    <xf numFmtId="0" fontId="8" fillId="0" borderId="0" xfId="0" applyFont="1" applyAlignment="1">
      <alignment horizontal="center"/>
    </xf>
    <xf numFmtId="0" fontId="8" fillId="0" borderId="0" xfId="0" applyFont="1" applyAlignment="1">
      <alignment wrapText="1"/>
    </xf>
    <xf numFmtId="0" fontId="0" fillId="0" borderId="0" xfId="0" applyAlignment="1">
      <alignment wrapText="1"/>
    </xf>
    <xf numFmtId="0" fontId="73" fillId="31" borderId="0" xfId="0" applyFont="1" applyFill="1" applyAlignment="1" applyProtection="1">
      <alignment horizontal="left"/>
      <protection locked="0"/>
    </xf>
    <xf numFmtId="0" fontId="0" fillId="0" borderId="0" xfId="0" applyAlignment="1">
      <alignment horizontal="left" wrapText="1"/>
    </xf>
    <xf numFmtId="0" fontId="169" fillId="31" borderId="0" xfId="0" applyFont="1" applyFill="1" applyAlignment="1" applyProtection="1">
      <alignment horizontal="left"/>
      <protection locked="0"/>
    </xf>
    <xf numFmtId="173" fontId="100" fillId="0" borderId="0" xfId="88" applyNumberFormat="1" applyFont="1" applyBorder="1" applyAlignment="1" applyProtection="1">
      <alignment horizontal="center"/>
    </xf>
    <xf numFmtId="0" fontId="73" fillId="31" borderId="0" xfId="0" applyFont="1" applyFill="1" applyAlignment="1" applyProtection="1">
      <alignment horizontal="left" wrapText="1"/>
      <protection locked="0"/>
    </xf>
    <xf numFmtId="0" fontId="0" fillId="31" borderId="0" xfId="0" applyFill="1" applyAlignment="1" applyProtection="1">
      <alignment wrapText="1"/>
      <protection locked="0"/>
    </xf>
    <xf numFmtId="172" fontId="6" fillId="0" borderId="21" xfId="264" applyFont="1" applyBorder="1" applyAlignment="1" applyProtection="1">
      <alignment wrapText="1"/>
    </xf>
    <xf numFmtId="0" fontId="6" fillId="0" borderId="15" xfId="0" applyFont="1" applyBorder="1" applyAlignment="1">
      <alignment wrapText="1"/>
    </xf>
    <xf numFmtId="0" fontId="6" fillId="0" borderId="25" xfId="0" applyFont="1" applyBorder="1" applyAlignment="1">
      <alignment wrapText="1"/>
    </xf>
    <xf numFmtId="0" fontId="6" fillId="0" borderId="17" xfId="0" applyFont="1" applyBorder="1" applyAlignment="1">
      <alignment wrapText="1"/>
    </xf>
    <xf numFmtId="0" fontId="6" fillId="0" borderId="0" xfId="0" applyFont="1" applyAlignment="1">
      <alignment wrapText="1"/>
    </xf>
    <xf numFmtId="0" fontId="6" fillId="0" borderId="18" xfId="0" applyFont="1" applyBorder="1" applyAlignment="1">
      <alignment wrapText="1"/>
    </xf>
    <xf numFmtId="0" fontId="169" fillId="31" borderId="0" xfId="0" applyFont="1" applyFill="1" applyAlignment="1">
      <alignment horizontal="left"/>
    </xf>
    <xf numFmtId="173" fontId="100" fillId="0" borderId="0" xfId="86" applyNumberFormat="1" applyFont="1" applyBorder="1" applyAlignment="1" applyProtection="1">
      <alignment horizontal="center"/>
    </xf>
    <xf numFmtId="0" fontId="169" fillId="30" borderId="0" xfId="0" applyFont="1" applyFill="1" applyAlignment="1" applyProtection="1">
      <alignment horizontal="left"/>
      <protection locked="0"/>
    </xf>
    <xf numFmtId="0" fontId="16" fillId="0" borderId="0" xfId="257" applyAlignment="1">
      <alignment horizontal="left" wrapText="1"/>
    </xf>
    <xf numFmtId="0" fontId="16" fillId="0" borderId="0" xfId="187" applyAlignment="1">
      <alignment wrapText="1"/>
    </xf>
    <xf numFmtId="0" fontId="93" fillId="0" borderId="0" xfId="257" applyFont="1" applyAlignment="1">
      <alignment horizontal="left" wrapText="1"/>
    </xf>
    <xf numFmtId="0" fontId="67" fillId="0" borderId="0" xfId="0" applyFont="1" applyAlignment="1">
      <alignment vertical="top" wrapText="1"/>
    </xf>
    <xf numFmtId="41" fontId="13" fillId="0" borderId="0" xfId="257" applyNumberFormat="1" applyFont="1" applyAlignment="1">
      <alignment horizontal="center" wrapText="1"/>
    </xf>
    <xf numFmtId="0" fontId="13" fillId="0" borderId="49" xfId="267" applyFont="1" applyBorder="1" applyAlignment="1">
      <alignment horizontal="center" wrapText="1"/>
    </xf>
    <xf numFmtId="0" fontId="13" fillId="0" borderId="13" xfId="267" applyFont="1" applyBorder="1" applyAlignment="1">
      <alignment horizontal="center" wrapText="1"/>
    </xf>
    <xf numFmtId="0" fontId="13" fillId="0" borderId="50" xfId="267" applyFont="1" applyBorder="1" applyAlignment="1">
      <alignment horizontal="center" wrapText="1"/>
    </xf>
    <xf numFmtId="0" fontId="13" fillId="0" borderId="49" xfId="0" applyFont="1" applyBorder="1" applyAlignment="1">
      <alignment horizontal="center"/>
    </xf>
    <xf numFmtId="0" fontId="13" fillId="0" borderId="13" xfId="0" applyFont="1" applyBorder="1" applyAlignment="1">
      <alignment horizontal="center"/>
    </xf>
    <xf numFmtId="0" fontId="13" fillId="0" borderId="50" xfId="0" applyFont="1" applyBorder="1" applyAlignment="1">
      <alignment horizontal="center"/>
    </xf>
    <xf numFmtId="0" fontId="13" fillId="0" borderId="0" xfId="0" applyFont="1" applyAlignment="1">
      <alignment horizontal="center" wrapText="1"/>
    </xf>
    <xf numFmtId="0" fontId="13" fillId="0" borderId="0" xfId="0" applyFont="1" applyAlignment="1">
      <alignment horizontal="left" wrapText="1"/>
    </xf>
    <xf numFmtId="0" fontId="99" fillId="0" borderId="0" xfId="0" applyFont="1" applyAlignment="1">
      <alignment horizontal="center" wrapText="1"/>
    </xf>
    <xf numFmtId="0" fontId="24" fillId="31" borderId="0" xfId="0" applyFont="1" applyFill="1" applyAlignment="1" applyProtection="1">
      <alignment wrapText="1"/>
      <protection locked="0"/>
    </xf>
    <xf numFmtId="0" fontId="138" fillId="0" borderId="0" xfId="0" applyFont="1" applyAlignment="1">
      <alignment horizontal="center"/>
    </xf>
    <xf numFmtId="0" fontId="138" fillId="0" borderId="0" xfId="215" applyFont="1" applyAlignment="1">
      <alignment horizontal="center"/>
    </xf>
    <xf numFmtId="0" fontId="143" fillId="0" borderId="0" xfId="0" applyFont="1" applyAlignment="1">
      <alignment horizontal="center"/>
    </xf>
    <xf numFmtId="3" fontId="138" fillId="0" borderId="0" xfId="0" applyNumberFormat="1" applyFont="1" applyAlignment="1">
      <alignment horizontal="center"/>
    </xf>
    <xf numFmtId="0" fontId="145" fillId="0" borderId="0" xfId="0" applyFont="1" applyAlignment="1">
      <alignment horizontal="center"/>
    </xf>
    <xf numFmtId="0" fontId="151" fillId="0" borderId="0" xfId="0" applyFont="1" applyAlignment="1">
      <alignment horizontal="left" wrapText="1"/>
    </xf>
    <xf numFmtId="0" fontId="143" fillId="0" borderId="0" xfId="0" applyFont="1" applyAlignment="1">
      <alignment wrapText="1"/>
    </xf>
    <xf numFmtId="0" fontId="143" fillId="0" borderId="0" xfId="0" applyFont="1" applyAlignment="1">
      <alignment horizontal="left" wrapText="1"/>
    </xf>
    <xf numFmtId="0" fontId="145" fillId="0" borderId="0" xfId="0" applyFont="1" applyAlignment="1">
      <alignment horizontal="center" wrapText="1"/>
    </xf>
    <xf numFmtId="173" fontId="145" fillId="0" borderId="0" xfId="112" applyNumberFormat="1" applyFont="1" applyAlignment="1">
      <alignment horizontal="center" wrapText="1"/>
    </xf>
    <xf numFmtId="0" fontId="9" fillId="0" borderId="0" xfId="263" applyFont="1" applyAlignment="1">
      <alignment vertical="top" wrapText="1"/>
    </xf>
    <xf numFmtId="0" fontId="7" fillId="0" borderId="0" xfId="0" applyFont="1" applyAlignment="1">
      <alignment vertical="top" wrapText="1"/>
    </xf>
    <xf numFmtId="0" fontId="0" fillId="0" borderId="0" xfId="0" applyAlignment="1">
      <alignment horizontal="left" vertical="center" wrapText="1"/>
    </xf>
    <xf numFmtId="0" fontId="109" fillId="0" borderId="0" xfId="266" applyFont="1" applyAlignment="1">
      <alignment horizontal="center"/>
    </xf>
    <xf numFmtId="3" fontId="109" fillId="0" borderId="0" xfId="266" applyNumberFormat="1" applyFont="1" applyAlignment="1">
      <alignment horizontal="center"/>
    </xf>
    <xf numFmtId="44" fontId="109" fillId="0" borderId="0" xfId="119" applyFont="1" applyAlignment="1" applyProtection="1">
      <alignment horizontal="center"/>
    </xf>
    <xf numFmtId="0" fontId="80" fillId="0" borderId="30" xfId="266" applyFont="1" applyBorder="1" applyAlignment="1">
      <alignment horizontal="center"/>
    </xf>
    <xf numFmtId="0" fontId="9" fillId="0" borderId="0" xfId="638" applyFont="1" applyAlignment="1">
      <alignment wrapText="1"/>
    </xf>
    <xf numFmtId="44" fontId="109" fillId="0" borderId="0" xfId="456" applyFont="1" applyAlignment="1">
      <alignment horizontal="center"/>
    </xf>
    <xf numFmtId="0" fontId="80" fillId="0" borderId="0" xfId="638" applyFont="1" applyAlignment="1">
      <alignment vertical="top" wrapText="1"/>
    </xf>
    <xf numFmtId="0" fontId="6" fillId="0" borderId="0" xfId="638" applyAlignment="1">
      <alignment vertical="top" wrapText="1"/>
    </xf>
    <xf numFmtId="0" fontId="9" fillId="0" borderId="0" xfId="654" applyFont="1" applyAlignment="1">
      <alignment vertical="top" wrapText="1"/>
    </xf>
    <xf numFmtId="0" fontId="7" fillId="0" borderId="0" xfId="266" applyAlignment="1">
      <alignment wrapText="1"/>
    </xf>
    <xf numFmtId="0" fontId="9" fillId="0" borderId="0" xfId="169" applyFont="1" applyAlignment="1">
      <alignment vertical="top" wrapText="1"/>
    </xf>
    <xf numFmtId="0" fontId="139" fillId="0" borderId="0" xfId="266" applyFont="1" applyAlignment="1">
      <alignment horizontal="center"/>
    </xf>
    <xf numFmtId="0" fontId="80" fillId="0" borderId="0" xfId="0" applyFont="1" applyAlignment="1">
      <alignment horizontal="center"/>
    </xf>
    <xf numFmtId="0" fontId="10" fillId="0" borderId="0" xfId="0" applyFont="1" applyAlignment="1">
      <alignment horizontal="center"/>
    </xf>
    <xf numFmtId="0" fontId="122" fillId="0" borderId="0" xfId="0" applyFont="1" applyAlignment="1">
      <alignment horizontal="center" wrapText="1"/>
    </xf>
  </cellXfs>
  <cellStyles count="659">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00A" xfId="51" xr:uid="{00000000-0005-0000-0000-000032000000}"/>
    <cellStyle name="C00B" xfId="52" xr:uid="{00000000-0005-0000-0000-000033000000}"/>
    <cellStyle name="C00L" xfId="53" xr:uid="{00000000-0005-0000-0000-000034000000}"/>
    <cellStyle name="C01A" xfId="54" xr:uid="{00000000-0005-0000-0000-000035000000}"/>
    <cellStyle name="C01A 2" xfId="403" xr:uid="{00000000-0005-0000-0000-000036000000}"/>
    <cellStyle name="C01B" xfId="55" xr:uid="{00000000-0005-0000-0000-000037000000}"/>
    <cellStyle name="C01B 2" xfId="417" xr:uid="{00000000-0005-0000-0000-000038000000}"/>
    <cellStyle name="C01H" xfId="56" xr:uid="{00000000-0005-0000-0000-000039000000}"/>
    <cellStyle name="C01L" xfId="57" xr:uid="{00000000-0005-0000-0000-00003A000000}"/>
    <cellStyle name="C02A" xfId="58" xr:uid="{00000000-0005-0000-0000-00003B000000}"/>
    <cellStyle name="C02A 2" xfId="363" xr:uid="{00000000-0005-0000-0000-00003C000000}"/>
    <cellStyle name="C02A 3" xfId="402" xr:uid="{00000000-0005-0000-0000-00003D000000}"/>
    <cellStyle name="C02A 4" xfId="356" xr:uid="{00000000-0005-0000-0000-00003E000000}"/>
    <cellStyle name="C02B" xfId="59" xr:uid="{00000000-0005-0000-0000-00003F000000}"/>
    <cellStyle name="C02B 2" xfId="418" xr:uid="{00000000-0005-0000-0000-000040000000}"/>
    <cellStyle name="C02H" xfId="60" xr:uid="{00000000-0005-0000-0000-000041000000}"/>
    <cellStyle name="C02L" xfId="61" xr:uid="{00000000-0005-0000-0000-000042000000}"/>
    <cellStyle name="C03A" xfId="62" xr:uid="{00000000-0005-0000-0000-000043000000}"/>
    <cellStyle name="C03B" xfId="63" xr:uid="{00000000-0005-0000-0000-000044000000}"/>
    <cellStyle name="C03H" xfId="64" xr:uid="{00000000-0005-0000-0000-000045000000}"/>
    <cellStyle name="C03L" xfId="65" xr:uid="{00000000-0005-0000-0000-000046000000}"/>
    <cellStyle name="C04A" xfId="66" xr:uid="{00000000-0005-0000-0000-000047000000}"/>
    <cellStyle name="C04A 2" xfId="419" xr:uid="{00000000-0005-0000-0000-000048000000}"/>
    <cellStyle name="C04B" xfId="67" xr:uid="{00000000-0005-0000-0000-000049000000}"/>
    <cellStyle name="C04H" xfId="68" xr:uid="{00000000-0005-0000-0000-00004A000000}"/>
    <cellStyle name="C04L" xfId="69" xr:uid="{00000000-0005-0000-0000-00004B000000}"/>
    <cellStyle name="C05A" xfId="70" xr:uid="{00000000-0005-0000-0000-00004C000000}"/>
    <cellStyle name="C05B" xfId="71" xr:uid="{00000000-0005-0000-0000-00004D000000}"/>
    <cellStyle name="C05H" xfId="72" xr:uid="{00000000-0005-0000-0000-00004E000000}"/>
    <cellStyle name="C05L" xfId="73" xr:uid="{00000000-0005-0000-0000-00004F000000}"/>
    <cellStyle name="C05L 2" xfId="420" xr:uid="{00000000-0005-0000-0000-000050000000}"/>
    <cellStyle name="C06A" xfId="74" xr:uid="{00000000-0005-0000-0000-000051000000}"/>
    <cellStyle name="C06B" xfId="75" xr:uid="{00000000-0005-0000-0000-000052000000}"/>
    <cellStyle name="C06H" xfId="76" xr:uid="{00000000-0005-0000-0000-000053000000}"/>
    <cellStyle name="C06L" xfId="77" xr:uid="{00000000-0005-0000-0000-000054000000}"/>
    <cellStyle name="C07A" xfId="78" xr:uid="{00000000-0005-0000-0000-000055000000}"/>
    <cellStyle name="C07B" xfId="79" xr:uid="{00000000-0005-0000-0000-000056000000}"/>
    <cellStyle name="C07H" xfId="80" xr:uid="{00000000-0005-0000-0000-000057000000}"/>
    <cellStyle name="C07L" xfId="81" xr:uid="{00000000-0005-0000-0000-000058000000}"/>
    <cellStyle name="Calculation" xfId="82" builtinId="22" customBuiltin="1"/>
    <cellStyle name="Calculation 2" xfId="83" xr:uid="{00000000-0005-0000-0000-00005A000000}"/>
    <cellStyle name="Calculation 2 2" xfId="365" xr:uid="{00000000-0005-0000-0000-00005B000000}"/>
    <cellStyle name="Calculation 2 3" xfId="392" xr:uid="{00000000-0005-0000-0000-00005C000000}"/>
    <cellStyle name="Calculation 2 4" xfId="362" xr:uid="{00000000-0005-0000-0000-00005D000000}"/>
    <cellStyle name="Calculation 3" xfId="364" xr:uid="{00000000-0005-0000-0000-00005E000000}"/>
    <cellStyle name="Calculation 4" xfId="394" xr:uid="{00000000-0005-0000-0000-00005F000000}"/>
    <cellStyle name="Calculation 5" xfId="361" xr:uid="{00000000-0005-0000-0000-000060000000}"/>
    <cellStyle name="Check Cell" xfId="84" builtinId="23" customBuiltin="1"/>
    <cellStyle name="Check Cell 2" xfId="85" xr:uid="{00000000-0005-0000-0000-000062000000}"/>
    <cellStyle name="Comma" xfId="86" builtinId="3"/>
    <cellStyle name="Comma [0] 2" xfId="353" xr:uid="{00000000-0005-0000-0000-000064000000}"/>
    <cellStyle name="Comma 10" xfId="349" xr:uid="{00000000-0005-0000-0000-000065000000}"/>
    <cellStyle name="Comma 10 2" xfId="421" xr:uid="{00000000-0005-0000-0000-000066000000}"/>
    <cellStyle name="Comma 11" xfId="366" xr:uid="{00000000-0005-0000-0000-000067000000}"/>
    <cellStyle name="Comma 11 2" xfId="610" xr:uid="{00000000-0005-0000-0000-000068000000}"/>
    <cellStyle name="Comma 12 2" xfId="87" xr:uid="{00000000-0005-0000-0000-000069000000}"/>
    <cellStyle name="Comma 12 2 2" xfId="367" xr:uid="{00000000-0005-0000-0000-00006A000000}"/>
    <cellStyle name="Comma 12 2 2 2" xfId="628" xr:uid="{00000000-0005-0000-0000-00006B000000}"/>
    <cellStyle name="Comma 12 2 3" xfId="422" xr:uid="{00000000-0005-0000-0000-00006C000000}"/>
    <cellStyle name="Comma 12 2 4" xfId="615" xr:uid="{00000000-0005-0000-0000-00006D000000}"/>
    <cellStyle name="Comma 141" xfId="658" xr:uid="{D915A577-F691-4D36-AD4B-8C95252E7AE6}"/>
    <cellStyle name="Comma 2" xfId="88" xr:uid="{00000000-0005-0000-0000-00006E000000}"/>
    <cellStyle name="Comma 2 2" xfId="89" xr:uid="{00000000-0005-0000-0000-00006F000000}"/>
    <cellStyle name="Comma 2 2 2" xfId="424" xr:uid="{00000000-0005-0000-0000-000070000000}"/>
    <cellStyle name="Comma 2 3" xfId="423" xr:uid="{00000000-0005-0000-0000-000071000000}"/>
    <cellStyle name="Comma 3" xfId="90" xr:uid="{00000000-0005-0000-0000-000072000000}"/>
    <cellStyle name="Comma 3 10" xfId="425" xr:uid="{00000000-0005-0000-0000-000073000000}"/>
    <cellStyle name="Comma 3 2" xfId="91" xr:uid="{00000000-0005-0000-0000-000074000000}"/>
    <cellStyle name="Comma 3 2 2" xfId="426" xr:uid="{00000000-0005-0000-0000-000075000000}"/>
    <cellStyle name="Comma 3 3" xfId="92" xr:uid="{00000000-0005-0000-0000-000076000000}"/>
    <cellStyle name="Comma 3 3 2" xfId="93" xr:uid="{00000000-0005-0000-0000-000077000000}"/>
    <cellStyle name="Comma 3 3 2 2" xfId="428" xr:uid="{00000000-0005-0000-0000-000078000000}"/>
    <cellStyle name="Comma 3 3 3" xfId="94" xr:uid="{00000000-0005-0000-0000-000079000000}"/>
    <cellStyle name="Comma 3 3 3 2" xfId="429" xr:uid="{00000000-0005-0000-0000-00007A000000}"/>
    <cellStyle name="Comma 3 3 4" xfId="427" xr:uid="{00000000-0005-0000-0000-00007B000000}"/>
    <cellStyle name="Comma 3 4" xfId="95" xr:uid="{00000000-0005-0000-0000-00007C000000}"/>
    <cellStyle name="Comma 3 4 2" xfId="96" xr:uid="{00000000-0005-0000-0000-00007D000000}"/>
    <cellStyle name="Comma 3 4 2 2" xfId="431" xr:uid="{00000000-0005-0000-0000-00007E000000}"/>
    <cellStyle name="Comma 3 4 3" xfId="97" xr:uid="{00000000-0005-0000-0000-00007F000000}"/>
    <cellStyle name="Comma 3 4 3 2" xfId="432" xr:uid="{00000000-0005-0000-0000-000080000000}"/>
    <cellStyle name="Comma 3 4 4" xfId="430" xr:uid="{00000000-0005-0000-0000-000081000000}"/>
    <cellStyle name="Comma 3 5" xfId="98" xr:uid="{00000000-0005-0000-0000-000082000000}"/>
    <cellStyle name="Comma 3 5 2" xfId="433" xr:uid="{00000000-0005-0000-0000-000083000000}"/>
    <cellStyle name="Comma 3 6" xfId="99" xr:uid="{00000000-0005-0000-0000-000084000000}"/>
    <cellStyle name="Comma 3 6 2" xfId="100" xr:uid="{00000000-0005-0000-0000-000085000000}"/>
    <cellStyle name="Comma 3 6 2 2" xfId="435" xr:uid="{00000000-0005-0000-0000-000086000000}"/>
    <cellStyle name="Comma 3 6 3" xfId="434" xr:uid="{00000000-0005-0000-0000-000087000000}"/>
    <cellStyle name="Comma 3 7" xfId="101" xr:uid="{00000000-0005-0000-0000-000088000000}"/>
    <cellStyle name="Comma 3 7 2" xfId="102" xr:uid="{00000000-0005-0000-0000-000089000000}"/>
    <cellStyle name="Comma 3 7 2 2" xfId="437" xr:uid="{00000000-0005-0000-0000-00008A000000}"/>
    <cellStyle name="Comma 3 7 3" xfId="436" xr:uid="{00000000-0005-0000-0000-00008B000000}"/>
    <cellStyle name="Comma 3 8" xfId="103" xr:uid="{00000000-0005-0000-0000-00008C000000}"/>
    <cellStyle name="Comma 3 8 2" xfId="368" xr:uid="{00000000-0005-0000-0000-00008D000000}"/>
    <cellStyle name="Comma 3 8 2 2" xfId="629" xr:uid="{00000000-0005-0000-0000-00008E000000}"/>
    <cellStyle name="Comma 3 8 3" xfId="438" xr:uid="{00000000-0005-0000-0000-00008F000000}"/>
    <cellStyle name="Comma 3 9" xfId="104" xr:uid="{00000000-0005-0000-0000-000090000000}"/>
    <cellStyle name="Comma 3 9 2" xfId="369" xr:uid="{00000000-0005-0000-0000-000091000000}"/>
    <cellStyle name="Comma 3 9 2 2" xfId="440" xr:uid="{00000000-0005-0000-0000-000092000000}"/>
    <cellStyle name="Comma 3 9 3" xfId="439" xr:uid="{00000000-0005-0000-0000-000093000000}"/>
    <cellStyle name="Comma 4" xfId="105" xr:uid="{00000000-0005-0000-0000-000094000000}"/>
    <cellStyle name="Comma 4 2" xfId="106" xr:uid="{00000000-0005-0000-0000-000095000000}"/>
    <cellStyle name="Comma 4 2 2" xfId="442" xr:uid="{00000000-0005-0000-0000-000096000000}"/>
    <cellStyle name="Comma 4 3" xfId="370" xr:uid="{00000000-0005-0000-0000-000097000000}"/>
    <cellStyle name="Comma 4 3 2" xfId="630" xr:uid="{00000000-0005-0000-0000-000098000000}"/>
    <cellStyle name="Comma 4 4" xfId="441" xr:uid="{00000000-0005-0000-0000-000099000000}"/>
    <cellStyle name="Comma 4 5" xfId="616" xr:uid="{00000000-0005-0000-0000-00009A000000}"/>
    <cellStyle name="Comma 5" xfId="107" xr:uid="{00000000-0005-0000-0000-00009B000000}"/>
    <cellStyle name="Comma 5 2" xfId="108" xr:uid="{00000000-0005-0000-0000-00009C000000}"/>
    <cellStyle name="Comma 5 2 2" xfId="444" xr:uid="{00000000-0005-0000-0000-00009D000000}"/>
    <cellStyle name="Comma 5 3" xfId="443" xr:uid="{00000000-0005-0000-0000-00009E000000}"/>
    <cellStyle name="Comma 6" xfId="109" xr:uid="{00000000-0005-0000-0000-00009F000000}"/>
    <cellStyle name="Comma 6 2" xfId="110" xr:uid="{00000000-0005-0000-0000-0000A0000000}"/>
    <cellStyle name="Comma 6 2 2" xfId="446" xr:uid="{00000000-0005-0000-0000-0000A1000000}"/>
    <cellStyle name="Comma 6 3" xfId="111" xr:uid="{00000000-0005-0000-0000-0000A2000000}"/>
    <cellStyle name="Comma 6 3 2" xfId="372" xr:uid="{00000000-0005-0000-0000-0000A3000000}"/>
    <cellStyle name="Comma 6 3 2 2" xfId="632" xr:uid="{00000000-0005-0000-0000-0000A4000000}"/>
    <cellStyle name="Comma 6 3 3" xfId="447" xr:uid="{00000000-0005-0000-0000-0000A5000000}"/>
    <cellStyle name="Comma 6 3 4" xfId="618" xr:uid="{00000000-0005-0000-0000-0000A6000000}"/>
    <cellStyle name="Comma 6 4" xfId="371" xr:uid="{00000000-0005-0000-0000-0000A7000000}"/>
    <cellStyle name="Comma 6 4 2" xfId="631" xr:uid="{00000000-0005-0000-0000-0000A8000000}"/>
    <cellStyle name="Comma 6 5" xfId="445" xr:uid="{00000000-0005-0000-0000-0000A9000000}"/>
    <cellStyle name="Comma 6 6" xfId="617" xr:uid="{00000000-0005-0000-0000-0000AA000000}"/>
    <cellStyle name="Comma 7" xfId="112" xr:uid="{00000000-0005-0000-0000-0000AB000000}"/>
    <cellStyle name="Comma 7 2" xfId="113" xr:uid="{00000000-0005-0000-0000-0000AC000000}"/>
    <cellStyle name="Comma 7 2 2" xfId="449" xr:uid="{00000000-0005-0000-0000-0000AD000000}"/>
    <cellStyle name="Comma 7 3" xfId="114" xr:uid="{00000000-0005-0000-0000-0000AE000000}"/>
    <cellStyle name="Comma 7 3 2" xfId="450" xr:uid="{00000000-0005-0000-0000-0000AF000000}"/>
    <cellStyle name="Comma 7 4" xfId="451" xr:uid="{00000000-0005-0000-0000-0000B0000000}"/>
    <cellStyle name="Comma 7 5" xfId="448" xr:uid="{00000000-0005-0000-0000-0000B1000000}"/>
    <cellStyle name="Comma 8" xfId="115" xr:uid="{00000000-0005-0000-0000-0000B2000000}"/>
    <cellStyle name="Comma 8 2" xfId="373" xr:uid="{00000000-0005-0000-0000-0000B3000000}"/>
    <cellStyle name="Comma 8 2 2" xfId="633" xr:uid="{00000000-0005-0000-0000-0000B4000000}"/>
    <cellStyle name="Comma 8 3" xfId="452" xr:uid="{00000000-0005-0000-0000-0000B5000000}"/>
    <cellStyle name="Comma 9" xfId="116" xr:uid="{00000000-0005-0000-0000-0000B6000000}"/>
    <cellStyle name="Comma 9 2" xfId="348" xr:uid="{00000000-0005-0000-0000-0000B7000000}"/>
    <cellStyle name="Comma 9 2 2" xfId="414" xr:uid="{00000000-0005-0000-0000-0000B8000000}"/>
    <cellStyle name="Comma 9 2 3" xfId="609" xr:uid="{00000000-0005-0000-0000-0000B9000000}"/>
    <cellStyle name="Comma 9 2 4" xfId="653" xr:uid="{00000000-0005-0000-0000-0000BA000000}"/>
    <cellStyle name="Comma 9 3" xfId="355" xr:uid="{00000000-0005-0000-0000-0000BB000000}"/>
    <cellStyle name="Comma 9 3 2" xfId="614" xr:uid="{00000000-0005-0000-0000-0000BC000000}"/>
    <cellStyle name="Comma 9 4" xfId="374" xr:uid="{00000000-0005-0000-0000-0000BD000000}"/>
    <cellStyle name="Comma 9 5" xfId="453" xr:uid="{00000000-0005-0000-0000-0000BE000000}"/>
    <cellStyle name="Comma_spp calc - revsd rev crd" xfId="117" xr:uid="{00000000-0005-0000-0000-0000BF000000}"/>
    <cellStyle name="Comma0" xfId="118" xr:uid="{00000000-0005-0000-0000-0000C0000000}"/>
    <cellStyle name="Comma0 2" xfId="454" xr:uid="{00000000-0005-0000-0000-0000C1000000}"/>
    <cellStyle name="Currency" xfId="119" builtinId="4"/>
    <cellStyle name="Currency [0] 2" xfId="352" xr:uid="{00000000-0005-0000-0000-0000C3000000}"/>
    <cellStyle name="Currency 10" xfId="375" xr:uid="{00000000-0005-0000-0000-0000C4000000}"/>
    <cellStyle name="Currency 10 2" xfId="612" xr:uid="{00000000-0005-0000-0000-0000C5000000}"/>
    <cellStyle name="Currency 2" xfId="120" xr:uid="{00000000-0005-0000-0000-0000C6000000}"/>
    <cellStyle name="Currency 2 2" xfId="121" xr:uid="{00000000-0005-0000-0000-0000C7000000}"/>
    <cellStyle name="Currency 2 2 2" xfId="456" xr:uid="{00000000-0005-0000-0000-0000C8000000}"/>
    <cellStyle name="Currency 2 3" xfId="455" xr:uid="{00000000-0005-0000-0000-0000C9000000}"/>
    <cellStyle name="Currency 3" xfId="122" xr:uid="{00000000-0005-0000-0000-0000CA000000}"/>
    <cellStyle name="Currency 3 2" xfId="123" xr:uid="{00000000-0005-0000-0000-0000CB000000}"/>
    <cellStyle name="Currency 3 2 2" xfId="457" xr:uid="{00000000-0005-0000-0000-0000CC000000}"/>
    <cellStyle name="Currency 3 3" xfId="124" xr:uid="{00000000-0005-0000-0000-0000CD000000}"/>
    <cellStyle name="Currency 3 3 2" xfId="125" xr:uid="{00000000-0005-0000-0000-0000CE000000}"/>
    <cellStyle name="Currency 3 3 2 2" xfId="459" xr:uid="{00000000-0005-0000-0000-0000CF000000}"/>
    <cellStyle name="Currency 3 3 3" xfId="126" xr:uid="{00000000-0005-0000-0000-0000D0000000}"/>
    <cellStyle name="Currency 3 3 3 2" xfId="460" xr:uid="{00000000-0005-0000-0000-0000D1000000}"/>
    <cellStyle name="Currency 3 3 4" xfId="458" xr:uid="{00000000-0005-0000-0000-0000D2000000}"/>
    <cellStyle name="Currency 3 4" xfId="127" xr:uid="{00000000-0005-0000-0000-0000D3000000}"/>
    <cellStyle name="Currency 3 4 2" xfId="128" xr:uid="{00000000-0005-0000-0000-0000D4000000}"/>
    <cellStyle name="Currency 3 4 2 2" xfId="462" xr:uid="{00000000-0005-0000-0000-0000D5000000}"/>
    <cellStyle name="Currency 3 4 3" xfId="129" xr:uid="{00000000-0005-0000-0000-0000D6000000}"/>
    <cellStyle name="Currency 3 4 3 2" xfId="463" xr:uid="{00000000-0005-0000-0000-0000D7000000}"/>
    <cellStyle name="Currency 3 4 4" xfId="461" xr:uid="{00000000-0005-0000-0000-0000D8000000}"/>
    <cellStyle name="Currency 3 5" xfId="130" xr:uid="{00000000-0005-0000-0000-0000D9000000}"/>
    <cellStyle name="Currency 3 5 2" xfId="464" xr:uid="{00000000-0005-0000-0000-0000DA000000}"/>
    <cellStyle name="Currency 3 6" xfId="131" xr:uid="{00000000-0005-0000-0000-0000DB000000}"/>
    <cellStyle name="Currency 3 6 2" xfId="132" xr:uid="{00000000-0005-0000-0000-0000DC000000}"/>
    <cellStyle name="Currency 3 6 2 2" xfId="466" xr:uid="{00000000-0005-0000-0000-0000DD000000}"/>
    <cellStyle name="Currency 3 6 3" xfId="465" xr:uid="{00000000-0005-0000-0000-0000DE000000}"/>
    <cellStyle name="Currency 3 7" xfId="133" xr:uid="{00000000-0005-0000-0000-0000DF000000}"/>
    <cellStyle name="Currency 3 7 2" xfId="376" xr:uid="{00000000-0005-0000-0000-0000E0000000}"/>
    <cellStyle name="Currency 3 7 2 2" xfId="634" xr:uid="{00000000-0005-0000-0000-0000E1000000}"/>
    <cellStyle name="Currency 3 7 3" xfId="467" xr:uid="{00000000-0005-0000-0000-0000E2000000}"/>
    <cellStyle name="Currency 3 8" xfId="134" xr:uid="{00000000-0005-0000-0000-0000E3000000}"/>
    <cellStyle name="Currency 3 8 2" xfId="377" xr:uid="{00000000-0005-0000-0000-0000E4000000}"/>
    <cellStyle name="Currency 3 8 3" xfId="468" xr:uid="{00000000-0005-0000-0000-0000E5000000}"/>
    <cellStyle name="Currency 3 9" xfId="469" xr:uid="{00000000-0005-0000-0000-0000E6000000}"/>
    <cellStyle name="Currency 4" xfId="135" xr:uid="{00000000-0005-0000-0000-0000E7000000}"/>
    <cellStyle name="Currency 4 2" xfId="136" xr:uid="{00000000-0005-0000-0000-0000E8000000}"/>
    <cellStyle name="Currency 4 2 2" xfId="471" xr:uid="{00000000-0005-0000-0000-0000E9000000}"/>
    <cellStyle name="Currency 4 3" xfId="378" xr:uid="{00000000-0005-0000-0000-0000EA000000}"/>
    <cellStyle name="Currency 4 3 2" xfId="635" xr:uid="{00000000-0005-0000-0000-0000EB000000}"/>
    <cellStyle name="Currency 4 4" xfId="470" xr:uid="{00000000-0005-0000-0000-0000EC000000}"/>
    <cellStyle name="Currency 4 5" xfId="619" xr:uid="{00000000-0005-0000-0000-0000ED000000}"/>
    <cellStyle name="Currency 5" xfId="137" xr:uid="{00000000-0005-0000-0000-0000EE000000}"/>
    <cellStyle name="Currency 5 2" xfId="138" xr:uid="{00000000-0005-0000-0000-0000EF000000}"/>
    <cellStyle name="Currency 5 2 2" xfId="473" xr:uid="{00000000-0005-0000-0000-0000F0000000}"/>
    <cellStyle name="Currency 5 3" xfId="472" xr:uid="{00000000-0005-0000-0000-0000F1000000}"/>
    <cellStyle name="Currency 6" xfId="139" xr:uid="{00000000-0005-0000-0000-0000F2000000}"/>
    <cellStyle name="Currency 6 2" xfId="379" xr:uid="{00000000-0005-0000-0000-0000F3000000}"/>
    <cellStyle name="Currency 6 2 2" xfId="636" xr:uid="{00000000-0005-0000-0000-0000F4000000}"/>
    <cellStyle name="Currency 6 3" xfId="474" xr:uid="{00000000-0005-0000-0000-0000F5000000}"/>
    <cellStyle name="Currency 6 4" xfId="620" xr:uid="{00000000-0005-0000-0000-0000F6000000}"/>
    <cellStyle name="Currency 7" xfId="140" xr:uid="{00000000-0005-0000-0000-0000F7000000}"/>
    <cellStyle name="Currency 7 2" xfId="380" xr:uid="{00000000-0005-0000-0000-0000F8000000}"/>
    <cellStyle name="Currency 7 2 2" xfId="637" xr:uid="{00000000-0005-0000-0000-0000F9000000}"/>
    <cellStyle name="Currency 7 3" xfId="475" xr:uid="{00000000-0005-0000-0000-0000FA000000}"/>
    <cellStyle name="Currency 8" xfId="141" xr:uid="{00000000-0005-0000-0000-0000FB000000}"/>
    <cellStyle name="Currency 8 2" xfId="381" xr:uid="{00000000-0005-0000-0000-0000FC000000}"/>
    <cellStyle name="Currency 8 3" xfId="476" xr:uid="{00000000-0005-0000-0000-0000FD000000}"/>
    <cellStyle name="Currency 9" xfId="351" xr:uid="{00000000-0005-0000-0000-0000FE000000}"/>
    <cellStyle name="Currency 9 2" xfId="477" xr:uid="{00000000-0005-0000-0000-0000FF000000}"/>
    <cellStyle name="Currency0" xfId="142" xr:uid="{00000000-0005-0000-0000-000000010000}"/>
    <cellStyle name="Currency0 2" xfId="478" xr:uid="{00000000-0005-0000-0000-000001010000}"/>
    <cellStyle name="Date" xfId="143" xr:uid="{00000000-0005-0000-0000-000002010000}"/>
    <cellStyle name="Date 2" xfId="479" xr:uid="{00000000-0005-0000-0000-000003010000}"/>
    <cellStyle name="Explanatory Text" xfId="144" builtinId="53" customBuiltin="1"/>
    <cellStyle name="Explanatory Text 2" xfId="145" xr:uid="{00000000-0005-0000-0000-000005010000}"/>
    <cellStyle name="Fixed" xfId="146" xr:uid="{00000000-0005-0000-0000-000006010000}"/>
    <cellStyle name="Fixed 2" xfId="480" xr:uid="{00000000-0005-0000-0000-000007010000}"/>
    <cellStyle name="Good" xfId="147" builtinId="26" customBuiltin="1"/>
    <cellStyle name="Good 2" xfId="148" xr:uid="{00000000-0005-0000-0000-000009010000}"/>
    <cellStyle name="Heading 1" xfId="149" builtinId="16" customBuiltin="1"/>
    <cellStyle name="Heading 1 2" xfId="150" xr:uid="{00000000-0005-0000-0000-00000B010000}"/>
    <cellStyle name="Heading 2" xfId="151" builtinId="17" customBuiltin="1"/>
    <cellStyle name="Heading 2 2" xfId="152" xr:uid="{00000000-0005-0000-0000-00000D010000}"/>
    <cellStyle name="Heading 3" xfId="153" builtinId="18" customBuiltin="1"/>
    <cellStyle name="Heading 3 2" xfId="154" xr:uid="{00000000-0005-0000-0000-00000F010000}"/>
    <cellStyle name="Heading 4" xfId="155" builtinId="19" customBuiltin="1"/>
    <cellStyle name="Heading 4 2" xfId="156" xr:uid="{00000000-0005-0000-0000-000011010000}"/>
    <cellStyle name="Heading1" xfId="157" xr:uid="{00000000-0005-0000-0000-000012010000}"/>
    <cellStyle name="Heading2" xfId="158" xr:uid="{00000000-0005-0000-0000-000013010000}"/>
    <cellStyle name="Input" xfId="159" builtinId="20" customBuiltin="1"/>
    <cellStyle name="Input 2" xfId="160" xr:uid="{00000000-0005-0000-0000-000015010000}"/>
    <cellStyle name="Input 2 2" xfId="385" xr:uid="{00000000-0005-0000-0000-000016010000}"/>
    <cellStyle name="Input 2 3" xfId="386" xr:uid="{00000000-0005-0000-0000-000017010000}"/>
    <cellStyle name="Input 2 4" xfId="383" xr:uid="{00000000-0005-0000-0000-000018010000}"/>
    <cellStyle name="Input 3" xfId="384" xr:uid="{00000000-0005-0000-0000-000019010000}"/>
    <cellStyle name="Input 4" xfId="387" xr:uid="{00000000-0005-0000-0000-00001A010000}"/>
    <cellStyle name="Input 5" xfId="382" xr:uid="{00000000-0005-0000-0000-00001B010000}"/>
    <cellStyle name="Linked Cell" xfId="161" builtinId="24" customBuiltin="1"/>
    <cellStyle name="Linked Cell 2" xfId="162" xr:uid="{00000000-0005-0000-0000-00001D010000}"/>
    <cellStyle name="Neutral" xfId="163" builtinId="28" customBuiltin="1"/>
    <cellStyle name="Neutral 2" xfId="164" xr:uid="{00000000-0005-0000-0000-00001F010000}"/>
    <cellStyle name="Normal" xfId="0" builtinId="0"/>
    <cellStyle name="Normal 10" xfId="165" xr:uid="{00000000-0005-0000-0000-000021010000}"/>
    <cellStyle name="Normal 10 2" xfId="166" xr:uid="{00000000-0005-0000-0000-000022010000}"/>
    <cellStyle name="Normal 10 2 2" xfId="482" xr:uid="{00000000-0005-0000-0000-000023010000}"/>
    <cellStyle name="Normal 10 3" xfId="167" xr:uid="{00000000-0005-0000-0000-000024010000}"/>
    <cellStyle name="Normal 10 3 2" xfId="483" xr:uid="{00000000-0005-0000-0000-000025010000}"/>
    <cellStyle name="Normal 10 4" xfId="481" xr:uid="{00000000-0005-0000-0000-000026010000}"/>
    <cellStyle name="Normal 11" xfId="168" xr:uid="{00000000-0005-0000-0000-000027010000}"/>
    <cellStyle name="Normal 11 2" xfId="169" xr:uid="{00000000-0005-0000-0000-000028010000}"/>
    <cellStyle name="Normal 11 2 2" xfId="411" xr:uid="{00000000-0005-0000-0000-000029010000}"/>
    <cellStyle name="Normal 11 2 2 2" xfId="638" xr:uid="{00000000-0005-0000-0000-00002A010000}"/>
    <cellStyle name="Normal 11 2 3" xfId="485" xr:uid="{00000000-0005-0000-0000-00002B010000}"/>
    <cellStyle name="Normal 11 3" xfId="170" xr:uid="{00000000-0005-0000-0000-00002C010000}"/>
    <cellStyle name="Normal 11 3 2" xfId="486" xr:uid="{00000000-0005-0000-0000-00002D010000}"/>
    <cellStyle name="Normal 11 4" xfId="484" xr:uid="{00000000-0005-0000-0000-00002E010000}"/>
    <cellStyle name="Normal 12" xfId="171" xr:uid="{00000000-0005-0000-0000-00002F010000}"/>
    <cellStyle name="Normal 12 2" xfId="172" xr:uid="{00000000-0005-0000-0000-000030010000}"/>
    <cellStyle name="Normal 12 2 2" xfId="488" xr:uid="{00000000-0005-0000-0000-000031010000}"/>
    <cellStyle name="Normal 12 3" xfId="487" xr:uid="{00000000-0005-0000-0000-000032010000}"/>
    <cellStyle name="Normal 12 4" xfId="173" xr:uid="{00000000-0005-0000-0000-000033010000}"/>
    <cellStyle name="Normal 12 4 2" xfId="388" xr:uid="{00000000-0005-0000-0000-000034010000}"/>
    <cellStyle name="Normal 12 4 2 2" xfId="639" xr:uid="{00000000-0005-0000-0000-000035010000}"/>
    <cellStyle name="Normal 12 4 3" xfId="489" xr:uid="{00000000-0005-0000-0000-000036010000}"/>
    <cellStyle name="Normal 12 4 4" xfId="621" xr:uid="{00000000-0005-0000-0000-000037010000}"/>
    <cellStyle name="Normal 13" xfId="174" xr:uid="{00000000-0005-0000-0000-000038010000}"/>
    <cellStyle name="Normal 13 2" xfId="175" xr:uid="{00000000-0005-0000-0000-000039010000}"/>
    <cellStyle name="Normal 13 2 2" xfId="491" xr:uid="{00000000-0005-0000-0000-00003A010000}"/>
    <cellStyle name="Normal 13 3" xfId="490" xr:uid="{00000000-0005-0000-0000-00003B010000}"/>
    <cellStyle name="Normal 14" xfId="176" xr:uid="{00000000-0005-0000-0000-00003C010000}"/>
    <cellStyle name="Normal 14 2" xfId="177" xr:uid="{00000000-0005-0000-0000-00003D010000}"/>
    <cellStyle name="Normal 14 2 2" xfId="493" xr:uid="{00000000-0005-0000-0000-00003E010000}"/>
    <cellStyle name="Normal 14 3" xfId="492" xr:uid="{00000000-0005-0000-0000-00003F010000}"/>
    <cellStyle name="Normal 15" xfId="178" xr:uid="{00000000-0005-0000-0000-000040010000}"/>
    <cellStyle name="Normal 15 2" xfId="494" xr:uid="{00000000-0005-0000-0000-000041010000}"/>
    <cellStyle name="Normal 16" xfId="179" xr:uid="{00000000-0005-0000-0000-000042010000}"/>
    <cellStyle name="Normal 16 2" xfId="180" xr:uid="{00000000-0005-0000-0000-000043010000}"/>
    <cellStyle name="Normal 16 2 2" xfId="496" xr:uid="{00000000-0005-0000-0000-000044010000}"/>
    <cellStyle name="Normal 16 3" xfId="495" xr:uid="{00000000-0005-0000-0000-000045010000}"/>
    <cellStyle name="Normal 17" xfId="181" xr:uid="{00000000-0005-0000-0000-000046010000}"/>
    <cellStyle name="Normal 17 2" xfId="182" xr:uid="{00000000-0005-0000-0000-000047010000}"/>
    <cellStyle name="Normal 17 2 2" xfId="498" xr:uid="{00000000-0005-0000-0000-000048010000}"/>
    <cellStyle name="Normal 17 3" xfId="497" xr:uid="{00000000-0005-0000-0000-000049010000}"/>
    <cellStyle name="Normal 18" xfId="183" xr:uid="{00000000-0005-0000-0000-00004A010000}"/>
    <cellStyle name="Normal 18 2" xfId="184" xr:uid="{00000000-0005-0000-0000-00004B010000}"/>
    <cellStyle name="Normal 18 2 2" xfId="500" xr:uid="{00000000-0005-0000-0000-00004C010000}"/>
    <cellStyle name="Normal 18 3" xfId="499" xr:uid="{00000000-0005-0000-0000-00004D010000}"/>
    <cellStyle name="Normal 19" xfId="185" xr:uid="{00000000-0005-0000-0000-00004E010000}"/>
    <cellStyle name="Normal 19 2" xfId="186" xr:uid="{00000000-0005-0000-0000-00004F010000}"/>
    <cellStyle name="Normal 19 2 2" xfId="502" xr:uid="{00000000-0005-0000-0000-000050010000}"/>
    <cellStyle name="Normal 19 3" xfId="501" xr:uid="{00000000-0005-0000-0000-000051010000}"/>
    <cellStyle name="Normal 2" xfId="187" xr:uid="{00000000-0005-0000-0000-000052010000}"/>
    <cellStyle name="Normal 2 2" xfId="188" xr:uid="{00000000-0005-0000-0000-000053010000}"/>
    <cellStyle name="Normal 2 2 2" xfId="189" xr:uid="{00000000-0005-0000-0000-000054010000}"/>
    <cellStyle name="Normal 2 2 3" xfId="190" xr:uid="{00000000-0005-0000-0000-000055010000}"/>
    <cellStyle name="Normal 2 2 3 2" xfId="505" xr:uid="{00000000-0005-0000-0000-000056010000}"/>
    <cellStyle name="Normal 2 2 4" xfId="191" xr:uid="{00000000-0005-0000-0000-000057010000}"/>
    <cellStyle name="Normal 2 2 4 2" xfId="506" xr:uid="{00000000-0005-0000-0000-000058010000}"/>
    <cellStyle name="Normal 2 2 5" xfId="504" xr:uid="{00000000-0005-0000-0000-000059010000}"/>
    <cellStyle name="Normal 2 3" xfId="192" xr:uid="{00000000-0005-0000-0000-00005A010000}"/>
    <cellStyle name="Normal 2 4" xfId="507" xr:uid="{00000000-0005-0000-0000-00005B010000}"/>
    <cellStyle name="Normal 2 5" xfId="193" xr:uid="{00000000-0005-0000-0000-00005C010000}"/>
    <cellStyle name="Normal 2 5 2" xfId="194" xr:uid="{00000000-0005-0000-0000-00005D010000}"/>
    <cellStyle name="Normal 2 5 2 2" xfId="509" xr:uid="{00000000-0005-0000-0000-00005E010000}"/>
    <cellStyle name="Normal 2 5 3" xfId="508" xr:uid="{00000000-0005-0000-0000-00005F010000}"/>
    <cellStyle name="Normal 2 6" xfId="503" xr:uid="{00000000-0005-0000-0000-000060010000}"/>
    <cellStyle name="Normal 20" xfId="195" xr:uid="{00000000-0005-0000-0000-000061010000}"/>
    <cellStyle name="Normal 20 2" xfId="196" xr:uid="{00000000-0005-0000-0000-000062010000}"/>
    <cellStyle name="Normal 20 2 2" xfId="511" xr:uid="{00000000-0005-0000-0000-000063010000}"/>
    <cellStyle name="Normal 20 3" xfId="510" xr:uid="{00000000-0005-0000-0000-000064010000}"/>
    <cellStyle name="Normal 21" xfId="197" xr:uid="{00000000-0005-0000-0000-000065010000}"/>
    <cellStyle name="Normal 21 2" xfId="198" xr:uid="{00000000-0005-0000-0000-000066010000}"/>
    <cellStyle name="Normal 21 2 2" xfId="513" xr:uid="{00000000-0005-0000-0000-000067010000}"/>
    <cellStyle name="Normal 21 3" xfId="512" xr:uid="{00000000-0005-0000-0000-000068010000}"/>
    <cellStyle name="Normal 22" xfId="199" xr:uid="{00000000-0005-0000-0000-000069010000}"/>
    <cellStyle name="Normal 22 2" xfId="200" xr:uid="{00000000-0005-0000-0000-00006A010000}"/>
    <cellStyle name="Normal 22 2 2" xfId="515" xr:uid="{00000000-0005-0000-0000-00006B010000}"/>
    <cellStyle name="Normal 22 3" xfId="514" xr:uid="{00000000-0005-0000-0000-00006C010000}"/>
    <cellStyle name="Normal 23" xfId="201" xr:uid="{00000000-0005-0000-0000-00006D010000}"/>
    <cellStyle name="Normal 23 2" xfId="202" xr:uid="{00000000-0005-0000-0000-00006E010000}"/>
    <cellStyle name="Normal 23 2 2" xfId="517" xr:uid="{00000000-0005-0000-0000-00006F010000}"/>
    <cellStyle name="Normal 23 3" xfId="516" xr:uid="{00000000-0005-0000-0000-000070010000}"/>
    <cellStyle name="Normal 24" xfId="203" xr:uid="{00000000-0005-0000-0000-000071010000}"/>
    <cellStyle name="Normal 24 2" xfId="204" xr:uid="{00000000-0005-0000-0000-000072010000}"/>
    <cellStyle name="Normal 24 2 2" xfId="519" xr:uid="{00000000-0005-0000-0000-000073010000}"/>
    <cellStyle name="Normal 24 3" xfId="518" xr:uid="{00000000-0005-0000-0000-000074010000}"/>
    <cellStyle name="Normal 25" xfId="205" xr:uid="{00000000-0005-0000-0000-000075010000}"/>
    <cellStyle name="Normal 25 2" xfId="206" xr:uid="{00000000-0005-0000-0000-000076010000}"/>
    <cellStyle name="Normal 25 2 2" xfId="521" xr:uid="{00000000-0005-0000-0000-000077010000}"/>
    <cellStyle name="Normal 25 3" xfId="520" xr:uid="{00000000-0005-0000-0000-000078010000}"/>
    <cellStyle name="Normal 26" xfId="207" xr:uid="{00000000-0005-0000-0000-000079010000}"/>
    <cellStyle name="Normal 26 2" xfId="208" xr:uid="{00000000-0005-0000-0000-00007A010000}"/>
    <cellStyle name="Normal 26 2 2" xfId="523" xr:uid="{00000000-0005-0000-0000-00007B010000}"/>
    <cellStyle name="Normal 26 3" xfId="522" xr:uid="{00000000-0005-0000-0000-00007C010000}"/>
    <cellStyle name="Normal 27" xfId="209" xr:uid="{00000000-0005-0000-0000-00007D010000}"/>
    <cellStyle name="Normal 27 2" xfId="524" xr:uid="{00000000-0005-0000-0000-00007E010000}"/>
    <cellStyle name="Normal 28" xfId="210" xr:uid="{00000000-0005-0000-0000-00007F010000}"/>
    <cellStyle name="Normal 28 2" xfId="211" xr:uid="{00000000-0005-0000-0000-000080010000}"/>
    <cellStyle name="Normal 28 2 2" xfId="526" xr:uid="{00000000-0005-0000-0000-000081010000}"/>
    <cellStyle name="Normal 28 3" xfId="525" xr:uid="{00000000-0005-0000-0000-000082010000}"/>
    <cellStyle name="Normal 29" xfId="212" xr:uid="{00000000-0005-0000-0000-000083010000}"/>
    <cellStyle name="Normal 29 2" xfId="213" xr:uid="{00000000-0005-0000-0000-000084010000}"/>
    <cellStyle name="Normal 29 2 2" xfId="528" xr:uid="{00000000-0005-0000-0000-000085010000}"/>
    <cellStyle name="Normal 29 3" xfId="527" xr:uid="{00000000-0005-0000-0000-000086010000}"/>
    <cellStyle name="Normal 3" xfId="214" xr:uid="{00000000-0005-0000-0000-000087010000}"/>
    <cellStyle name="Normal 3 2" xfId="215" xr:uid="{00000000-0005-0000-0000-000088010000}"/>
    <cellStyle name="Normal 3 2 2" xfId="530" xr:uid="{00000000-0005-0000-0000-000089010000}"/>
    <cellStyle name="Normal 3 3" xfId="216" xr:uid="{00000000-0005-0000-0000-00008A010000}"/>
    <cellStyle name="Normal 3 3 2" xfId="531" xr:uid="{00000000-0005-0000-0000-00008B010000}"/>
    <cellStyle name="Normal 3 4" xfId="529" xr:uid="{00000000-0005-0000-0000-00008C010000}"/>
    <cellStyle name="Normal 3_Attach O, GG, Support -New Method 2-14-11" xfId="217" xr:uid="{00000000-0005-0000-0000-00008D010000}"/>
    <cellStyle name="Normal 30" xfId="347" xr:uid="{00000000-0005-0000-0000-00008E010000}"/>
    <cellStyle name="Normal 30 2" xfId="532" xr:uid="{00000000-0005-0000-0000-00008F010000}"/>
    <cellStyle name="Normal 30 3" xfId="650" xr:uid="{00000000-0005-0000-0000-000090010000}"/>
    <cellStyle name="Normal 31" xfId="354" xr:uid="{00000000-0005-0000-0000-000091010000}"/>
    <cellStyle name="Normal 31 2" xfId="345" xr:uid="{00000000-0005-0000-0000-000092010000}"/>
    <cellStyle name="Normal 31 2 2" xfId="410" xr:uid="{00000000-0005-0000-0000-000093010000}"/>
    <cellStyle name="Normal 31 2 2 2" xfId="656" xr:uid="{00000000-0005-0000-0000-000094010000}"/>
    <cellStyle name="Normal 31 2 3" xfId="613" xr:uid="{00000000-0005-0000-0000-000095010000}"/>
    <cellStyle name="Normal 31 2 4" xfId="651" xr:uid="{00000000-0005-0000-0000-000096010000}"/>
    <cellStyle name="Normal 31 2 5" xfId="655" xr:uid="{00000000-0005-0000-0000-000097010000}"/>
    <cellStyle name="Normal 31 3" xfId="607" xr:uid="{00000000-0005-0000-0000-000098010000}"/>
    <cellStyle name="Normal 31 4" xfId="652" xr:uid="{00000000-0005-0000-0000-000099010000}"/>
    <cellStyle name="Normal 32" xfId="350" xr:uid="{00000000-0005-0000-0000-00009A010000}"/>
    <cellStyle name="Normal 33" xfId="611" xr:uid="{00000000-0005-0000-0000-00009B010000}"/>
    <cellStyle name="Normal 34" xfId="416" xr:uid="{00000000-0005-0000-0000-00009C010000}"/>
    <cellStyle name="Normal 4" xfId="218" xr:uid="{00000000-0005-0000-0000-00009D010000}"/>
    <cellStyle name="Normal 4 10" xfId="533" xr:uid="{00000000-0005-0000-0000-00009E010000}"/>
    <cellStyle name="Normal 4 2" xfId="219" xr:uid="{00000000-0005-0000-0000-00009F010000}"/>
    <cellStyle name="Normal 4 2 2" xfId="534" xr:uid="{00000000-0005-0000-0000-0000A0010000}"/>
    <cellStyle name="Normal 4 3" xfId="220" xr:uid="{00000000-0005-0000-0000-0000A1010000}"/>
    <cellStyle name="Normal 4 3 2" xfId="221" xr:uid="{00000000-0005-0000-0000-0000A2010000}"/>
    <cellStyle name="Normal 4 3 2 2" xfId="536" xr:uid="{00000000-0005-0000-0000-0000A3010000}"/>
    <cellStyle name="Normal 4 3 3" xfId="222" xr:uid="{00000000-0005-0000-0000-0000A4010000}"/>
    <cellStyle name="Normal 4 3 3 2" xfId="537" xr:uid="{00000000-0005-0000-0000-0000A5010000}"/>
    <cellStyle name="Normal 4 3 4" xfId="535" xr:uid="{00000000-0005-0000-0000-0000A6010000}"/>
    <cellStyle name="Normal 4 4" xfId="223" xr:uid="{00000000-0005-0000-0000-0000A7010000}"/>
    <cellStyle name="Normal 4 4 2" xfId="224" xr:uid="{00000000-0005-0000-0000-0000A8010000}"/>
    <cellStyle name="Normal 4 4 2 2" xfId="539" xr:uid="{00000000-0005-0000-0000-0000A9010000}"/>
    <cellStyle name="Normal 4 4 3" xfId="225" xr:uid="{00000000-0005-0000-0000-0000AA010000}"/>
    <cellStyle name="Normal 4 4 3 2" xfId="540" xr:uid="{00000000-0005-0000-0000-0000AB010000}"/>
    <cellStyle name="Normal 4 4 4" xfId="538" xr:uid="{00000000-0005-0000-0000-0000AC010000}"/>
    <cellStyle name="Normal 4 5" xfId="226" xr:uid="{00000000-0005-0000-0000-0000AD010000}"/>
    <cellStyle name="Normal 4 5 2" xfId="541" xr:uid="{00000000-0005-0000-0000-0000AE010000}"/>
    <cellStyle name="Normal 4 6" xfId="227" xr:uid="{00000000-0005-0000-0000-0000AF010000}"/>
    <cellStyle name="Normal 4 6 2" xfId="228" xr:uid="{00000000-0005-0000-0000-0000B0010000}"/>
    <cellStyle name="Normal 4 6 2 2" xfId="543" xr:uid="{00000000-0005-0000-0000-0000B1010000}"/>
    <cellStyle name="Normal 4 6 3" xfId="542" xr:uid="{00000000-0005-0000-0000-0000B2010000}"/>
    <cellStyle name="Normal 4 7" xfId="229" xr:uid="{00000000-0005-0000-0000-0000B3010000}"/>
    <cellStyle name="Normal 4 7 2" xfId="230" xr:uid="{00000000-0005-0000-0000-0000B4010000}"/>
    <cellStyle name="Normal 4 7 2 2" xfId="545" xr:uid="{00000000-0005-0000-0000-0000B5010000}"/>
    <cellStyle name="Normal 4 7 3" xfId="544" xr:uid="{00000000-0005-0000-0000-0000B6010000}"/>
    <cellStyle name="Normal 4 8" xfId="231" xr:uid="{00000000-0005-0000-0000-0000B7010000}"/>
    <cellStyle name="Normal 4 8 2" xfId="389" xr:uid="{00000000-0005-0000-0000-0000B8010000}"/>
    <cellStyle name="Normal 4 8 2 2" xfId="640" xr:uid="{00000000-0005-0000-0000-0000B9010000}"/>
    <cellStyle name="Normal 4 8 3" xfId="546" xr:uid="{00000000-0005-0000-0000-0000BA010000}"/>
    <cellStyle name="Normal 4 9" xfId="232" xr:uid="{00000000-0005-0000-0000-0000BB010000}"/>
    <cellStyle name="Normal 4 9 2" xfId="390" xr:uid="{00000000-0005-0000-0000-0000BC010000}"/>
    <cellStyle name="Normal 4 9 3" xfId="547" xr:uid="{00000000-0005-0000-0000-0000BD010000}"/>
    <cellStyle name="Normal 4_PBOP Exhibit 1" xfId="233" xr:uid="{00000000-0005-0000-0000-0000BE010000}"/>
    <cellStyle name="Normal 5" xfId="234" xr:uid="{00000000-0005-0000-0000-0000BF010000}"/>
    <cellStyle name="Normal 5 2" xfId="235" xr:uid="{00000000-0005-0000-0000-0000C0010000}"/>
    <cellStyle name="Normal 5 2 2" xfId="236" xr:uid="{00000000-0005-0000-0000-0000C1010000}"/>
    <cellStyle name="Normal 5 2 2 2" xfId="550" xr:uid="{00000000-0005-0000-0000-0000C2010000}"/>
    <cellStyle name="Normal 5 2 3" xfId="549" xr:uid="{00000000-0005-0000-0000-0000C3010000}"/>
    <cellStyle name="Normal 5 3" xfId="237" xr:uid="{00000000-0005-0000-0000-0000C4010000}"/>
    <cellStyle name="Normal 5 3 2" xfId="551" xr:uid="{00000000-0005-0000-0000-0000C5010000}"/>
    <cellStyle name="Normal 5 4" xfId="238" xr:uid="{00000000-0005-0000-0000-0000C6010000}"/>
    <cellStyle name="Normal 5 4 2" xfId="552" xr:uid="{00000000-0005-0000-0000-0000C7010000}"/>
    <cellStyle name="Normal 5 5" xfId="548" xr:uid="{00000000-0005-0000-0000-0000C8010000}"/>
    <cellStyle name="Normal 6" xfId="239" xr:uid="{00000000-0005-0000-0000-0000C9010000}"/>
    <cellStyle name="Normal 6 2" xfId="240" xr:uid="{00000000-0005-0000-0000-0000CA010000}"/>
    <cellStyle name="Normal 6 2 2" xfId="241" xr:uid="{00000000-0005-0000-0000-0000CB010000}"/>
    <cellStyle name="Normal 6 2 2 2" xfId="555" xr:uid="{00000000-0005-0000-0000-0000CC010000}"/>
    <cellStyle name="Normal 6 2 3" xfId="242" xr:uid="{00000000-0005-0000-0000-0000CD010000}"/>
    <cellStyle name="Normal 6 2 3 2" xfId="556" xr:uid="{00000000-0005-0000-0000-0000CE010000}"/>
    <cellStyle name="Normal 6 2 4" xfId="554" xr:uid="{00000000-0005-0000-0000-0000CF010000}"/>
    <cellStyle name="Normal 6 3" xfId="243" xr:uid="{00000000-0005-0000-0000-0000D0010000}"/>
    <cellStyle name="Normal 6 3 2" xfId="244" xr:uid="{00000000-0005-0000-0000-0000D1010000}"/>
    <cellStyle name="Normal 6 3 2 2" xfId="558" xr:uid="{00000000-0005-0000-0000-0000D2010000}"/>
    <cellStyle name="Normal 6 3 3" xfId="557" xr:uid="{00000000-0005-0000-0000-0000D3010000}"/>
    <cellStyle name="Normal 6 4" xfId="245" xr:uid="{00000000-0005-0000-0000-0000D4010000}"/>
    <cellStyle name="Normal 6 4 2" xfId="246" xr:uid="{00000000-0005-0000-0000-0000D5010000}"/>
    <cellStyle name="Normal 6 4 2 2" xfId="560" xr:uid="{00000000-0005-0000-0000-0000D6010000}"/>
    <cellStyle name="Normal 6 4 3" xfId="559" xr:uid="{00000000-0005-0000-0000-0000D7010000}"/>
    <cellStyle name="Normal 6 5" xfId="391" xr:uid="{00000000-0005-0000-0000-0000D8010000}"/>
    <cellStyle name="Normal 6 5 2" xfId="641" xr:uid="{00000000-0005-0000-0000-0000D9010000}"/>
    <cellStyle name="Normal 6 6" xfId="553" xr:uid="{00000000-0005-0000-0000-0000DA010000}"/>
    <cellStyle name="Normal 6 7" xfId="622" xr:uid="{00000000-0005-0000-0000-0000DB010000}"/>
    <cellStyle name="Normal 7" xfId="247" xr:uid="{00000000-0005-0000-0000-0000DC010000}"/>
    <cellStyle name="Normal 7 2" xfId="248" xr:uid="{00000000-0005-0000-0000-0000DD010000}"/>
    <cellStyle name="Normal 7 2 2" xfId="562" xr:uid="{00000000-0005-0000-0000-0000DE010000}"/>
    <cellStyle name="Normal 7 3" xfId="393" xr:uid="{00000000-0005-0000-0000-0000DF010000}"/>
    <cellStyle name="Normal 7 3 2" xfId="642" xr:uid="{00000000-0005-0000-0000-0000E0010000}"/>
    <cellStyle name="Normal 7 4" xfId="561" xr:uid="{00000000-0005-0000-0000-0000E1010000}"/>
    <cellStyle name="Normal 7 5" xfId="623" xr:uid="{00000000-0005-0000-0000-0000E2010000}"/>
    <cellStyle name="Normal 8" xfId="249" xr:uid="{00000000-0005-0000-0000-0000E3010000}"/>
    <cellStyle name="Normal 8 2" xfId="250" xr:uid="{00000000-0005-0000-0000-0000E4010000}"/>
    <cellStyle name="Normal 8 2 2" xfId="564" xr:uid="{00000000-0005-0000-0000-0000E5010000}"/>
    <cellStyle name="Normal 8 3" xfId="395" xr:uid="{00000000-0005-0000-0000-0000E6010000}"/>
    <cellStyle name="Normal 8 3 2" xfId="643" xr:uid="{00000000-0005-0000-0000-0000E7010000}"/>
    <cellStyle name="Normal 8 4" xfId="563" xr:uid="{00000000-0005-0000-0000-0000E8010000}"/>
    <cellStyle name="Normal 8 5" xfId="624" xr:uid="{00000000-0005-0000-0000-0000E9010000}"/>
    <cellStyle name="Normal 9" xfId="251" xr:uid="{00000000-0005-0000-0000-0000EA010000}"/>
    <cellStyle name="Normal 9 2" xfId="252" xr:uid="{00000000-0005-0000-0000-0000EB010000}"/>
    <cellStyle name="Normal 9 2 2" xfId="566" xr:uid="{00000000-0005-0000-0000-0000EC010000}"/>
    <cellStyle name="Normal 9 3" xfId="396" xr:uid="{00000000-0005-0000-0000-0000ED010000}"/>
    <cellStyle name="Normal 9 3 2" xfId="644" xr:uid="{00000000-0005-0000-0000-0000EE010000}"/>
    <cellStyle name="Normal 9 4" xfId="565" xr:uid="{00000000-0005-0000-0000-0000EF010000}"/>
    <cellStyle name="Normal 9 5" xfId="625" xr:uid="{00000000-0005-0000-0000-0000F0010000}"/>
    <cellStyle name="Normal_21 Exh B" xfId="253" xr:uid="{00000000-0005-0000-0000-0000F1010000}"/>
    <cellStyle name="Normal_ADITAnalysisID090805" xfId="254" xr:uid="{00000000-0005-0000-0000-0000F2010000}"/>
    <cellStyle name="Normal_ADITAnalysisID090805 2" xfId="255" xr:uid="{00000000-0005-0000-0000-0000F3010000}"/>
    <cellStyle name="Normal_ADITAnalysisID090805 2 2" xfId="256" xr:uid="{00000000-0005-0000-0000-0000F4010000}"/>
    <cellStyle name="Normal_ADITAnalysisID090805 2 2 2" xfId="257" xr:uid="{00000000-0005-0000-0000-0000F5010000}"/>
    <cellStyle name="Normal_ADITAnalysisID090805 2 2 3" xfId="657" xr:uid="{00000000-0005-0000-0000-0000F6010000}"/>
    <cellStyle name="Normal_ADITAnalysisID090805 3" xfId="258" xr:uid="{00000000-0005-0000-0000-0000F7010000}"/>
    <cellStyle name="Normal_ADITAnalysisID090805 4 2 2" xfId="606" xr:uid="{00000000-0005-0000-0000-0000F8010000}"/>
    <cellStyle name="Normal_ADITAnalysisID090805 5" xfId="259" xr:uid="{00000000-0005-0000-0000-0000F9010000}"/>
    <cellStyle name="Normal_ATC Projected 2008 Monthly Plant Balances for Attachment O 2 (2)" xfId="260" xr:uid="{00000000-0005-0000-0000-0000FA010000}"/>
    <cellStyle name="Normal_AU Period 2 Rev 4-27-00" xfId="261" xr:uid="{00000000-0005-0000-0000-0000FB010000}"/>
    <cellStyle name="Normal_AU Period 2 Rev 4-27-00 2" xfId="262" xr:uid="{00000000-0005-0000-0000-0000FC010000}"/>
    <cellStyle name="Normal_DeprRateAuth East Dave Davis" xfId="263" xr:uid="{00000000-0005-0000-0000-0000FD010000}"/>
    <cellStyle name="Normal_DeprRateAuth East Dave Davis 2 2" xfId="654" xr:uid="{00000000-0005-0000-0000-0000FE010000}"/>
    <cellStyle name="Normal_FN1 Ratebase Draft SPP template (6-11-04) v2" xfId="264" xr:uid="{00000000-0005-0000-0000-0000FF010000}"/>
    <cellStyle name="Normal_I&amp;M-AK-1" xfId="265" xr:uid="{00000000-0005-0000-0000-000000020000}"/>
    <cellStyle name="Normal_Revised 1-21-10  Deprec Summary" xfId="266" xr:uid="{00000000-0005-0000-0000-000001020000}"/>
    <cellStyle name="Normal_Schedule O Info for Mike" xfId="267" xr:uid="{00000000-0005-0000-0000-000002020000}"/>
    <cellStyle name="Normal_spp calc - revsd rev crd" xfId="268" xr:uid="{00000000-0005-0000-0000-000003020000}"/>
    <cellStyle name="Note" xfId="269" builtinId="10" customBuiltin="1"/>
    <cellStyle name="Note 2" xfId="270" xr:uid="{00000000-0005-0000-0000-000005020000}"/>
    <cellStyle name="Note 2 2" xfId="398" xr:uid="{00000000-0005-0000-0000-000006020000}"/>
    <cellStyle name="Note 2 3" xfId="359" xr:uid="{00000000-0005-0000-0000-000007020000}"/>
    <cellStyle name="Note 2 4" xfId="399" xr:uid="{00000000-0005-0000-0000-000008020000}"/>
    <cellStyle name="Note 3" xfId="397" xr:uid="{00000000-0005-0000-0000-000009020000}"/>
    <cellStyle name="Note 4" xfId="360" xr:uid="{00000000-0005-0000-0000-00000A020000}"/>
    <cellStyle name="Note 5" xfId="412" xr:uid="{00000000-0005-0000-0000-00000B020000}"/>
    <cellStyle name="Output" xfId="271" builtinId="21" customBuiltin="1"/>
    <cellStyle name="Output 2" xfId="272" xr:uid="{00000000-0005-0000-0000-00000D020000}"/>
    <cellStyle name="Output 2 2" xfId="357" xr:uid="{00000000-0005-0000-0000-00000E020000}"/>
    <cellStyle name="Output 2 3" xfId="401" xr:uid="{00000000-0005-0000-0000-00000F020000}"/>
    <cellStyle name="Output 3" xfId="358" xr:uid="{00000000-0005-0000-0000-000010020000}"/>
    <cellStyle name="Output 4" xfId="400" xr:uid="{00000000-0005-0000-0000-000011020000}"/>
    <cellStyle name="Percent" xfId="273" builtinId="5"/>
    <cellStyle name="Percent 10" xfId="346" xr:uid="{00000000-0005-0000-0000-000013020000}"/>
    <cellStyle name="Percent 10 2" xfId="567" xr:uid="{00000000-0005-0000-0000-000014020000}"/>
    <cellStyle name="Percent 11" xfId="608" xr:uid="{00000000-0005-0000-0000-000015020000}"/>
    <cellStyle name="Percent 2" xfId="274" xr:uid="{00000000-0005-0000-0000-000016020000}"/>
    <cellStyle name="Percent 2 2" xfId="275" xr:uid="{00000000-0005-0000-0000-000017020000}"/>
    <cellStyle name="Percent 2 2 2" xfId="413" xr:uid="{00000000-0005-0000-0000-000018020000}"/>
    <cellStyle name="Percent 2 2 2 2" xfId="645" xr:uid="{00000000-0005-0000-0000-000019020000}"/>
    <cellStyle name="Percent 2 2 3" xfId="569" xr:uid="{00000000-0005-0000-0000-00001A020000}"/>
    <cellStyle name="Percent 2 3" xfId="568" xr:uid="{00000000-0005-0000-0000-00001B020000}"/>
    <cellStyle name="Percent 3" xfId="276" xr:uid="{00000000-0005-0000-0000-00001C020000}"/>
    <cellStyle name="Percent 3 2" xfId="277" xr:uid="{00000000-0005-0000-0000-00001D020000}"/>
    <cellStyle name="Percent 3 2 2" xfId="570" xr:uid="{00000000-0005-0000-0000-00001E020000}"/>
    <cellStyle name="Percent 3 3" xfId="278" xr:uid="{00000000-0005-0000-0000-00001F020000}"/>
    <cellStyle name="Percent 3 3 2" xfId="279" xr:uid="{00000000-0005-0000-0000-000020020000}"/>
    <cellStyle name="Percent 3 3 2 2" xfId="572" xr:uid="{00000000-0005-0000-0000-000021020000}"/>
    <cellStyle name="Percent 3 3 3" xfId="280" xr:uid="{00000000-0005-0000-0000-000022020000}"/>
    <cellStyle name="Percent 3 3 3 2" xfId="573" xr:uid="{00000000-0005-0000-0000-000023020000}"/>
    <cellStyle name="Percent 3 3 4" xfId="571" xr:uid="{00000000-0005-0000-0000-000024020000}"/>
    <cellStyle name="Percent 3 4" xfId="281" xr:uid="{00000000-0005-0000-0000-000025020000}"/>
    <cellStyle name="Percent 3 4 2" xfId="282" xr:uid="{00000000-0005-0000-0000-000026020000}"/>
    <cellStyle name="Percent 3 4 2 2" xfId="575" xr:uid="{00000000-0005-0000-0000-000027020000}"/>
    <cellStyle name="Percent 3 4 3" xfId="283" xr:uid="{00000000-0005-0000-0000-000028020000}"/>
    <cellStyle name="Percent 3 4 3 2" xfId="576" xr:uid="{00000000-0005-0000-0000-000029020000}"/>
    <cellStyle name="Percent 3 4 4" xfId="574" xr:uid="{00000000-0005-0000-0000-00002A020000}"/>
    <cellStyle name="Percent 3 5" xfId="284" xr:uid="{00000000-0005-0000-0000-00002B020000}"/>
    <cellStyle name="Percent 3 5 2" xfId="577" xr:uid="{00000000-0005-0000-0000-00002C020000}"/>
    <cellStyle name="Percent 3 6" xfId="285" xr:uid="{00000000-0005-0000-0000-00002D020000}"/>
    <cellStyle name="Percent 3 6 2" xfId="286" xr:uid="{00000000-0005-0000-0000-00002E020000}"/>
    <cellStyle name="Percent 3 6 2 2" xfId="579" xr:uid="{00000000-0005-0000-0000-00002F020000}"/>
    <cellStyle name="Percent 3 6 3" xfId="578" xr:uid="{00000000-0005-0000-0000-000030020000}"/>
    <cellStyle name="Percent 3 7" xfId="287" xr:uid="{00000000-0005-0000-0000-000031020000}"/>
    <cellStyle name="Percent 3 7 2" xfId="404" xr:uid="{00000000-0005-0000-0000-000032020000}"/>
    <cellStyle name="Percent 3 7 2 2" xfId="646" xr:uid="{00000000-0005-0000-0000-000033020000}"/>
    <cellStyle name="Percent 3 7 3" xfId="580" xr:uid="{00000000-0005-0000-0000-000034020000}"/>
    <cellStyle name="Percent 3 8" xfId="288" xr:uid="{00000000-0005-0000-0000-000035020000}"/>
    <cellStyle name="Percent 3 8 2" xfId="405" xr:uid="{00000000-0005-0000-0000-000036020000}"/>
    <cellStyle name="Percent 3 8 3" xfId="581" xr:uid="{00000000-0005-0000-0000-000037020000}"/>
    <cellStyle name="Percent 3 9" xfId="582" xr:uid="{00000000-0005-0000-0000-000038020000}"/>
    <cellStyle name="Percent 4" xfId="289" xr:uid="{00000000-0005-0000-0000-000039020000}"/>
    <cellStyle name="Percent 4 2" xfId="290" xr:uid="{00000000-0005-0000-0000-00003A020000}"/>
    <cellStyle name="Percent 4 2 2" xfId="584" xr:uid="{00000000-0005-0000-0000-00003B020000}"/>
    <cellStyle name="Percent 4 3" xfId="291" xr:uid="{00000000-0005-0000-0000-00003C020000}"/>
    <cellStyle name="Percent 4 3 2" xfId="585" xr:uid="{00000000-0005-0000-0000-00003D020000}"/>
    <cellStyle name="Percent 4 4" xfId="406" xr:uid="{00000000-0005-0000-0000-00003E020000}"/>
    <cellStyle name="Percent 4 4 2" xfId="647" xr:uid="{00000000-0005-0000-0000-00003F020000}"/>
    <cellStyle name="Percent 4 5" xfId="583" xr:uid="{00000000-0005-0000-0000-000040020000}"/>
    <cellStyle name="Percent 4 6" xfId="626" xr:uid="{00000000-0005-0000-0000-000041020000}"/>
    <cellStyle name="Percent 5" xfId="292" xr:uid="{00000000-0005-0000-0000-000042020000}"/>
    <cellStyle name="Percent 5 2" xfId="293" xr:uid="{00000000-0005-0000-0000-000043020000}"/>
    <cellStyle name="Percent 5 2 2" xfId="587" xr:uid="{00000000-0005-0000-0000-000044020000}"/>
    <cellStyle name="Percent 5 3" xfId="586" xr:uid="{00000000-0005-0000-0000-000045020000}"/>
    <cellStyle name="Percent 6" xfId="294" xr:uid="{00000000-0005-0000-0000-000046020000}"/>
    <cellStyle name="Percent 6 2" xfId="407" xr:uid="{00000000-0005-0000-0000-000047020000}"/>
    <cellStyle name="Percent 6 2 2" xfId="648" xr:uid="{00000000-0005-0000-0000-000048020000}"/>
    <cellStyle name="Percent 6 3" xfId="588" xr:uid="{00000000-0005-0000-0000-000049020000}"/>
    <cellStyle name="Percent 6 4" xfId="627" xr:uid="{00000000-0005-0000-0000-00004A020000}"/>
    <cellStyle name="Percent 7" xfId="295" xr:uid="{00000000-0005-0000-0000-00004B020000}"/>
    <cellStyle name="Percent 7 2" xfId="296" xr:uid="{00000000-0005-0000-0000-00004C020000}"/>
    <cellStyle name="Percent 7 2 2" xfId="590" xr:uid="{00000000-0005-0000-0000-00004D020000}"/>
    <cellStyle name="Percent 7 3" xfId="297" xr:uid="{00000000-0005-0000-0000-00004E020000}"/>
    <cellStyle name="Percent 7 3 2" xfId="591" xr:uid="{00000000-0005-0000-0000-00004F020000}"/>
    <cellStyle name="Percent 7 4" xfId="592" xr:uid="{00000000-0005-0000-0000-000050020000}"/>
    <cellStyle name="Percent 7 5" xfId="589" xr:uid="{00000000-0005-0000-0000-000051020000}"/>
    <cellStyle name="Percent 8" xfId="298" xr:uid="{00000000-0005-0000-0000-000052020000}"/>
    <cellStyle name="Percent 8 2" xfId="408" xr:uid="{00000000-0005-0000-0000-000053020000}"/>
    <cellStyle name="Percent 8 2 2" xfId="649" xr:uid="{00000000-0005-0000-0000-000054020000}"/>
    <cellStyle name="Percent 8 3" xfId="593" xr:uid="{00000000-0005-0000-0000-000055020000}"/>
    <cellStyle name="Percent 9" xfId="299" xr:uid="{00000000-0005-0000-0000-000056020000}"/>
    <cellStyle name="Percent 9 2" xfId="409" xr:uid="{00000000-0005-0000-0000-000057020000}"/>
    <cellStyle name="Percent 9 3" xfId="594" xr:uid="{00000000-0005-0000-0000-000058020000}"/>
    <cellStyle name="PSChar" xfId="300" xr:uid="{00000000-0005-0000-0000-000059020000}"/>
    <cellStyle name="PSDate" xfId="301" xr:uid="{00000000-0005-0000-0000-00005A020000}"/>
    <cellStyle name="PSDec" xfId="302" xr:uid="{00000000-0005-0000-0000-00005B020000}"/>
    <cellStyle name="PSdesc" xfId="303" xr:uid="{00000000-0005-0000-0000-00005C020000}"/>
    <cellStyle name="PSdesc 2" xfId="595" xr:uid="{00000000-0005-0000-0000-00005D020000}"/>
    <cellStyle name="PSHeading" xfId="304" xr:uid="{00000000-0005-0000-0000-00005E020000}"/>
    <cellStyle name="PSInt" xfId="305" xr:uid="{00000000-0005-0000-0000-00005F020000}"/>
    <cellStyle name="PSSpacer" xfId="306" xr:uid="{00000000-0005-0000-0000-000060020000}"/>
    <cellStyle name="PStest" xfId="307" xr:uid="{00000000-0005-0000-0000-000061020000}"/>
    <cellStyle name="PStest 2" xfId="596" xr:uid="{00000000-0005-0000-0000-000062020000}"/>
    <cellStyle name="R00A" xfId="308" xr:uid="{00000000-0005-0000-0000-000063020000}"/>
    <cellStyle name="R00B" xfId="309" xr:uid="{00000000-0005-0000-0000-000064020000}"/>
    <cellStyle name="R00L" xfId="310" xr:uid="{00000000-0005-0000-0000-000065020000}"/>
    <cellStyle name="R01A" xfId="311" xr:uid="{00000000-0005-0000-0000-000066020000}"/>
    <cellStyle name="R01B" xfId="312" xr:uid="{00000000-0005-0000-0000-000067020000}"/>
    <cellStyle name="R01B 2" xfId="415" xr:uid="{00000000-0005-0000-0000-000068020000}"/>
    <cellStyle name="R01H" xfId="313" xr:uid="{00000000-0005-0000-0000-000069020000}"/>
    <cellStyle name="R01L" xfId="314" xr:uid="{00000000-0005-0000-0000-00006A020000}"/>
    <cellStyle name="R02A" xfId="315" xr:uid="{00000000-0005-0000-0000-00006B020000}"/>
    <cellStyle name="R02B" xfId="316" xr:uid="{00000000-0005-0000-0000-00006C020000}"/>
    <cellStyle name="R02B 2" xfId="597" xr:uid="{00000000-0005-0000-0000-00006D020000}"/>
    <cellStyle name="R02H" xfId="317" xr:uid="{00000000-0005-0000-0000-00006E020000}"/>
    <cellStyle name="R02L" xfId="318" xr:uid="{00000000-0005-0000-0000-00006F020000}"/>
    <cellStyle name="R03A" xfId="319" xr:uid="{00000000-0005-0000-0000-000070020000}"/>
    <cellStyle name="R03B" xfId="320" xr:uid="{00000000-0005-0000-0000-000071020000}"/>
    <cellStyle name="R03B 2" xfId="598" xr:uid="{00000000-0005-0000-0000-000072020000}"/>
    <cellStyle name="R03H" xfId="321" xr:uid="{00000000-0005-0000-0000-000073020000}"/>
    <cellStyle name="R03L" xfId="322" xr:uid="{00000000-0005-0000-0000-000074020000}"/>
    <cellStyle name="R04A" xfId="323" xr:uid="{00000000-0005-0000-0000-000075020000}"/>
    <cellStyle name="R04B" xfId="324" xr:uid="{00000000-0005-0000-0000-000076020000}"/>
    <cellStyle name="R04B 2" xfId="599" xr:uid="{00000000-0005-0000-0000-000077020000}"/>
    <cellStyle name="R04H" xfId="325" xr:uid="{00000000-0005-0000-0000-000078020000}"/>
    <cellStyle name="R04L" xfId="326" xr:uid="{00000000-0005-0000-0000-000079020000}"/>
    <cellStyle name="R05A" xfId="327" xr:uid="{00000000-0005-0000-0000-00007A020000}"/>
    <cellStyle name="R05B" xfId="328" xr:uid="{00000000-0005-0000-0000-00007B020000}"/>
    <cellStyle name="R05B 2" xfId="600" xr:uid="{00000000-0005-0000-0000-00007C020000}"/>
    <cellStyle name="R05H" xfId="329" xr:uid="{00000000-0005-0000-0000-00007D020000}"/>
    <cellStyle name="R05L" xfId="330" xr:uid="{00000000-0005-0000-0000-00007E020000}"/>
    <cellStyle name="R05L 2" xfId="601" xr:uid="{00000000-0005-0000-0000-00007F020000}"/>
    <cellStyle name="R06A" xfId="331" xr:uid="{00000000-0005-0000-0000-000080020000}"/>
    <cellStyle name="R06B" xfId="332" xr:uid="{00000000-0005-0000-0000-000081020000}"/>
    <cellStyle name="R06B 2" xfId="602" xr:uid="{00000000-0005-0000-0000-000082020000}"/>
    <cellStyle name="R06H" xfId="333" xr:uid="{00000000-0005-0000-0000-000083020000}"/>
    <cellStyle name="R06L" xfId="334" xr:uid="{00000000-0005-0000-0000-000084020000}"/>
    <cellStyle name="R07A" xfId="335" xr:uid="{00000000-0005-0000-0000-000085020000}"/>
    <cellStyle name="R07B" xfId="336" xr:uid="{00000000-0005-0000-0000-000086020000}"/>
    <cellStyle name="R07B 2" xfId="603" xr:uid="{00000000-0005-0000-0000-000087020000}"/>
    <cellStyle name="R07H" xfId="337" xr:uid="{00000000-0005-0000-0000-000088020000}"/>
    <cellStyle name="R07L" xfId="338" xr:uid="{00000000-0005-0000-0000-000089020000}"/>
    <cellStyle name="Title" xfId="339" builtinId="15" customBuiltin="1"/>
    <cellStyle name="Title 2" xfId="340" xr:uid="{00000000-0005-0000-0000-00008B020000}"/>
    <cellStyle name="Total" xfId="341" builtinId="25" customBuiltin="1"/>
    <cellStyle name="Total 2" xfId="342" xr:uid="{00000000-0005-0000-0000-00008D020000}"/>
    <cellStyle name="Total 2 2" xfId="605" xr:uid="{00000000-0005-0000-0000-00008E020000}"/>
    <cellStyle name="Total 3" xfId="604" xr:uid="{00000000-0005-0000-0000-00008F020000}"/>
    <cellStyle name="Warning Text" xfId="343" builtinId="11" customBuiltin="1"/>
    <cellStyle name="Warning Text 2" xfId="344" xr:uid="{00000000-0005-0000-0000-000091020000}"/>
  </cellStyles>
  <dxfs count="59">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ont>
        <condense val="0"/>
        <extend val="0"/>
        <color auto="1"/>
      </font>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394"/>
  <sheetViews>
    <sheetView tabSelected="1" view="pageBreakPreview" zoomScale="55" zoomScaleNormal="85" zoomScaleSheetLayoutView="55" zoomScalePageLayoutView="50" workbookViewId="0">
      <selection activeCell="D11" sqref="D11"/>
    </sheetView>
  </sheetViews>
  <sheetFormatPr defaultColWidth="11.42578125" defaultRowHeight="15"/>
  <cols>
    <col min="1" max="1" width="4.5703125" style="243" customWidth="1"/>
    <col min="2" max="2" width="7.85546875" style="242" customWidth="1"/>
    <col min="3" max="3" width="1.85546875" style="243" customWidth="1"/>
    <col min="4" max="4" width="70.140625" style="243" customWidth="1"/>
    <col min="5" max="5" width="25.5703125" style="243" customWidth="1"/>
    <col min="6" max="6" width="22.42578125" style="243" customWidth="1"/>
    <col min="7" max="7" width="20.5703125" style="243" customWidth="1"/>
    <col min="8" max="8" width="16.140625" style="243" customWidth="1"/>
    <col min="9" max="9" width="11.42578125" style="243" customWidth="1"/>
    <col min="10" max="10" width="21.5703125" style="243" bestFit="1" customWidth="1"/>
    <col min="11" max="11" width="4.5703125" style="243" customWidth="1"/>
    <col min="12" max="12" width="23" style="243" customWidth="1"/>
    <col min="13" max="13" width="5" style="243" customWidth="1"/>
    <col min="14" max="14" width="31.140625" style="243" customWidth="1"/>
    <col min="15" max="15" width="8.140625" style="243" customWidth="1"/>
    <col min="16" max="16" width="21.85546875" style="243" customWidth="1"/>
    <col min="17" max="17" width="11.42578125" style="243" customWidth="1"/>
    <col min="18" max="18" width="20.5703125" style="243" bestFit="1" customWidth="1"/>
    <col min="19" max="16384" width="11.42578125" style="243"/>
  </cols>
  <sheetData>
    <row r="1" spans="1:15" ht="15.75">
      <c r="A1" s="657" t="s">
        <v>114</v>
      </c>
    </row>
    <row r="2" spans="1:15" ht="15.75">
      <c r="A2" s="657" t="s">
        <v>114</v>
      </c>
    </row>
    <row r="3" spans="1:15" ht="15.75">
      <c r="A3" s="243" t="s">
        <v>114</v>
      </c>
      <c r="D3"/>
      <c r="E3" s="244"/>
      <c r="F3" s="244"/>
      <c r="G3" s="245"/>
      <c r="I3" s="246"/>
      <c r="J3" s="246"/>
      <c r="K3" s="246"/>
    </row>
    <row r="4" spans="1:15">
      <c r="J4" s="243" t="s">
        <v>813</v>
      </c>
      <c r="L4" s="606">
        <v>2025</v>
      </c>
    </row>
    <row r="5" spans="1:15">
      <c r="D5" s="247"/>
      <c r="E5" s="247"/>
      <c r="F5" s="28" t="s">
        <v>385</v>
      </c>
      <c r="G5" s="2"/>
      <c r="H5" s="2"/>
      <c r="J5" s="247"/>
      <c r="K5" s="247"/>
      <c r="L5" s="247"/>
      <c r="M5" s="248"/>
      <c r="O5" s="249"/>
    </row>
    <row r="6" spans="1:15">
      <c r="D6" s="247"/>
      <c r="E6" s="250"/>
      <c r="F6" s="28" t="s">
        <v>386</v>
      </c>
      <c r="G6" s="2"/>
      <c r="H6" s="2"/>
      <c r="J6" s="250"/>
      <c r="K6" s="247"/>
      <c r="L6" s="247"/>
      <c r="M6" s="248"/>
    </row>
    <row r="7" spans="1:15">
      <c r="D7" s="247"/>
      <c r="E7" s="247"/>
      <c r="F7" s="3" t="str">
        <f>"Utilizing  Actual/Projected FERC Form 1 Data"</f>
        <v>Utilizing  Actual/Projected FERC Form 1 Data</v>
      </c>
      <c r="G7" s="2"/>
      <c r="H7" s="2"/>
      <c r="J7" s="247"/>
      <c r="K7" s="247"/>
      <c r="L7" s="247"/>
      <c r="M7" s="248"/>
    </row>
    <row r="8" spans="1:15">
      <c r="B8" s="251"/>
      <c r="C8" s="252"/>
      <c r="D8" s="247"/>
      <c r="H8" s="253"/>
      <c r="I8" s="253"/>
      <c r="J8" s="253"/>
      <c r="K8" s="253"/>
      <c r="L8" s="247"/>
      <c r="M8" s="247"/>
    </row>
    <row r="9" spans="1:15" ht="15.75">
      <c r="B9" s="251"/>
      <c r="C9" s="252"/>
      <c r="D9"/>
      <c r="E9" s="247"/>
      <c r="F9" s="254" t="s">
        <v>857</v>
      </c>
      <c r="G9" s="255"/>
      <c r="H9" s="247"/>
      <c r="I9" s="247"/>
      <c r="J9" s="247"/>
      <c r="K9" s="247"/>
      <c r="L9"/>
      <c r="M9" s="247"/>
    </row>
    <row r="10" spans="1:15">
      <c r="B10" s="251"/>
      <c r="C10" s="252"/>
      <c r="D10" s="247"/>
      <c r="E10" s="247"/>
      <c r="F10" s="256"/>
      <c r="G10" s="255"/>
      <c r="H10" s="247"/>
      <c r="I10" s="247"/>
      <c r="J10" s="247"/>
      <c r="K10" s="247"/>
      <c r="L10"/>
      <c r="M10" s="247"/>
    </row>
    <row r="11" spans="1:15">
      <c r="B11" s="251" t="s">
        <v>169</v>
      </c>
      <c r="C11" s="252"/>
      <c r="D11" s="247"/>
      <c r="E11" s="247"/>
      <c r="F11" s="247"/>
      <c r="G11" s="255"/>
      <c r="H11" s="247"/>
      <c r="I11" s="247"/>
      <c r="J11" s="247"/>
      <c r="K11" s="247"/>
      <c r="L11" s="252" t="s">
        <v>115</v>
      </c>
      <c r="M11" s="247"/>
    </row>
    <row r="12" spans="1:15" ht="15.75" thickBot="1">
      <c r="B12" s="257" t="s">
        <v>117</v>
      </c>
      <c r="C12" s="252"/>
      <c r="D12" s="247"/>
      <c r="E12" s="252"/>
      <c r="F12" s="247"/>
      <c r="G12" s="247"/>
      <c r="H12" s="247"/>
      <c r="I12" s="247"/>
      <c r="J12" s="247"/>
      <c r="K12" s="247"/>
      <c r="L12" s="258" t="s">
        <v>170</v>
      </c>
      <c r="M12" s="247"/>
    </row>
    <row r="13" spans="1:15">
      <c r="B13" s="251">
        <f>1</f>
        <v>1</v>
      </c>
      <c r="C13" s="252"/>
      <c r="D13" s="2" t="s">
        <v>111</v>
      </c>
      <c r="E13" s="247" t="str">
        <f>"(ln "&amp;B221&amp;")"</f>
        <v>(ln 130)</v>
      </c>
      <c r="F13" s="247"/>
      <c r="G13" s="250"/>
      <c r="H13" s="259"/>
      <c r="I13" s="247"/>
      <c r="J13" s="247"/>
      <c r="K13" s="247"/>
      <c r="L13" s="260">
        <f>+L221</f>
        <v>511062852.97627866</v>
      </c>
      <c r="M13" s="247"/>
    </row>
    <row r="14" spans="1:15" ht="15.75" thickBot="1">
      <c r="B14" s="251"/>
      <c r="C14" s="252"/>
      <c r="E14" s="261"/>
      <c r="F14" s="250"/>
      <c r="G14" s="258" t="s">
        <v>118</v>
      </c>
      <c r="H14" s="250"/>
      <c r="I14" s="262" t="s">
        <v>119</v>
      </c>
      <c r="J14" s="262"/>
      <c r="K14" s="247"/>
      <c r="L14" s="250"/>
      <c r="M14" s="247"/>
    </row>
    <row r="15" spans="1:15">
      <c r="B15" s="251">
        <f>+B13+1</f>
        <v>2</v>
      </c>
      <c r="C15" s="252"/>
      <c r="D15" s="2" t="s">
        <v>168</v>
      </c>
      <c r="E15" s="261" t="s">
        <v>611</v>
      </c>
      <c r="F15" s="250"/>
      <c r="G15" s="263">
        <f>+'WS E Rev Credits'!K31</f>
        <v>19196687.250000004</v>
      </c>
      <c r="H15" s="250"/>
      <c r="I15" s="264" t="s">
        <v>129</v>
      </c>
      <c r="J15" s="265">
        <v>1</v>
      </c>
      <c r="K15" s="250"/>
      <c r="L15" s="266">
        <f>+J15*G15</f>
        <v>19196687.250000004</v>
      </c>
      <c r="M15" s="247"/>
    </row>
    <row r="16" spans="1:15">
      <c r="B16" s="251"/>
      <c r="C16" s="252"/>
      <c r="D16" s="2"/>
      <c r="F16" s="250"/>
      <c r="L16" s="267"/>
      <c r="M16" s="247"/>
    </row>
    <row r="17" spans="2:13">
      <c r="B17" s="251"/>
      <c r="C17" s="252"/>
      <c r="D17" s="2"/>
      <c r="F17" s="250"/>
      <c r="M17" s="247"/>
    </row>
    <row r="18" spans="2:13">
      <c r="B18" s="251">
        <f>+B15+1</f>
        <v>3</v>
      </c>
      <c r="C18" s="252"/>
      <c r="D18" s="2" t="s">
        <v>534</v>
      </c>
      <c r="E18" s="243" t="s">
        <v>612</v>
      </c>
      <c r="F18" s="250"/>
      <c r="L18" s="266">
        <f>'WS E Rev Credits'!K39</f>
        <v>12563290.5</v>
      </c>
      <c r="M18" s="247"/>
    </row>
    <row r="19" spans="2:13">
      <c r="B19" s="251"/>
      <c r="C19" s="252"/>
      <c r="D19" s="2"/>
      <c r="F19" s="250"/>
      <c r="M19" s="247"/>
    </row>
    <row r="20" spans="2:13" ht="15.75" thickBot="1">
      <c r="B20" s="251">
        <f>+B18+1</f>
        <v>4</v>
      </c>
      <c r="C20" s="252"/>
      <c r="D20" s="268" t="s">
        <v>464</v>
      </c>
      <c r="E20" s="261" t="str">
        <f>"(ln "&amp;B13&amp;" less  ln " &amp;B15&amp;" plus ln "&amp;B18&amp;")"</f>
        <v>(ln 1 less  ln 2 plus ln 3)</v>
      </c>
      <c r="F20" s="247"/>
      <c r="H20" s="250"/>
      <c r="I20" s="264"/>
      <c r="J20" s="250"/>
      <c r="K20" s="250"/>
      <c r="L20" s="269">
        <f>+L13-L15+L18</f>
        <v>504429456.22627866</v>
      </c>
      <c r="M20" s="247"/>
    </row>
    <row r="21" spans="2:13" ht="15.75" thickTop="1">
      <c r="B21" s="251"/>
      <c r="C21" s="252"/>
      <c r="D21" s="268"/>
      <c r="E21" s="261"/>
      <c r="F21" s="247"/>
      <c r="H21" s="250"/>
      <c r="I21" s="264"/>
      <c r="J21" s="250"/>
      <c r="K21" s="250"/>
      <c r="L21" s="266"/>
      <c r="M21" s="247"/>
    </row>
    <row r="22" spans="2:13">
      <c r="B22" s="251"/>
      <c r="C22" s="252"/>
      <c r="D22" s="268"/>
      <c r="E22" s="261"/>
      <c r="F22" s="247"/>
      <c r="H22" s="250"/>
      <c r="I22" s="264"/>
      <c r="J22" s="250"/>
      <c r="K22" s="250"/>
      <c r="L22" s="266"/>
      <c r="M22" s="247"/>
    </row>
    <row r="23" spans="2:13">
      <c r="B23" s="251"/>
      <c r="C23" s="252"/>
      <c r="D23" s="2"/>
      <c r="E23" s="261"/>
      <c r="F23" s="247"/>
      <c r="H23" s="250"/>
      <c r="I23" s="264"/>
      <c r="J23" s="250"/>
      <c r="K23" s="250"/>
      <c r="L23" s="266"/>
      <c r="M23" s="247"/>
    </row>
    <row r="24" spans="2:13" ht="15" customHeight="1">
      <c r="B24" s="1216" t="str">
        <f>"MEMO:  The Carrying Charge Calculations on lines "&amp;B30&amp;" to "&amp;B37&amp;" below are used in calculating project revenue requirements billed through PJM Schedule 12, Transmission Enhancement Charges.  The total non-incentive revenue requirements for these projects shown on line "&amp;B27&amp;" is included in the total on line "&amp;B20&amp;"."</f>
        <v>MEMO:  The Carrying Charge Calculations on lines 7 to 12 below are used in calculating project revenue requirements billed through PJM Schedule 12, Transmission Enhancement Charges.  The total non-incentive revenue requirements for these projects shown on line 5 is included in the total on line 4.</v>
      </c>
      <c r="C24" s="1216"/>
      <c r="D24" s="1216"/>
      <c r="E24" s="1216"/>
      <c r="F24" s="1216"/>
      <c r="G24" s="1216"/>
      <c r="H24" s="1216"/>
      <c r="I24" s="1216"/>
    </row>
    <row r="25" spans="2:13" ht="35.25" customHeight="1">
      <c r="B25" s="1216"/>
      <c r="C25" s="1216"/>
      <c r="D25" s="1216"/>
      <c r="E25" s="1216"/>
      <c r="F25" s="1216"/>
      <c r="G25" s="1216"/>
      <c r="H25" s="1216"/>
      <c r="I25" s="1216"/>
    </row>
    <row r="26" spans="2:13" ht="15" customHeight="1">
      <c r="B26" s="270"/>
      <c r="C26" s="270"/>
      <c r="D26" s="270"/>
      <c r="E26" s="270"/>
      <c r="F26" s="270"/>
      <c r="G26" s="270"/>
      <c r="H26" s="270"/>
      <c r="I26" s="270"/>
    </row>
    <row r="27" spans="2:13">
      <c r="B27" s="251">
        <f>+B20+1</f>
        <v>5</v>
      </c>
      <c r="C27" s="252"/>
      <c r="D27" s="2" t="s">
        <v>535</v>
      </c>
      <c r="E27" s="261"/>
      <c r="F27" s="250"/>
      <c r="G27" s="263">
        <f>'WS K TRUE-UP RTEP RR'!N22</f>
        <v>9111440.3977178764</v>
      </c>
      <c r="H27" s="250"/>
      <c r="I27" s="264" t="s">
        <v>129</v>
      </c>
      <c r="J27" s="265">
        <v>1</v>
      </c>
      <c r="K27" s="247"/>
      <c r="L27" s="266">
        <f>+J27*G27</f>
        <v>9111440.3977178764</v>
      </c>
      <c r="M27" s="247"/>
    </row>
    <row r="28" spans="2:13">
      <c r="B28" s="251"/>
      <c r="C28" s="252"/>
      <c r="D28" s="2"/>
      <c r="E28" s="261"/>
      <c r="F28" s="250"/>
      <c r="G28" s="263"/>
      <c r="H28" s="250"/>
      <c r="I28" s="250"/>
      <c r="J28" s="265"/>
      <c r="K28" s="247"/>
      <c r="L28" s="266"/>
      <c r="M28" s="247"/>
    </row>
    <row r="29" spans="2:13">
      <c r="B29" s="251">
        <f>+B27+1</f>
        <v>6</v>
      </c>
      <c r="C29" s="252"/>
      <c r="D29" s="2" t="s">
        <v>373</v>
      </c>
      <c r="E29" s="261"/>
      <c r="F29" s="247"/>
      <c r="G29" s="271"/>
      <c r="H29" s="247"/>
      <c r="J29" s="247"/>
      <c r="K29" s="247"/>
      <c r="M29" s="247"/>
    </row>
    <row r="30" spans="2:13">
      <c r="B30" s="251">
        <f>B29+1</f>
        <v>7</v>
      </c>
      <c r="C30" s="252"/>
      <c r="D30" s="247" t="s">
        <v>250</v>
      </c>
      <c r="E30" s="247" t="str">
        <f>"( (ln "&amp;B13&amp;" - ln "&amp;B175&amp;")/((ln "&amp;$B$95&amp;") x 100) )"</f>
        <v>( (ln 1 - ln 95)/((ln 42) x 100) )</v>
      </c>
      <c r="F30" s="252"/>
      <c r="G30" s="252"/>
      <c r="H30" s="252"/>
      <c r="I30" s="272"/>
      <c r="J30" s="272"/>
      <c r="K30" s="272"/>
      <c r="L30" s="273">
        <f>(L13-L175)/L$95</f>
        <v>0.18203123059969589</v>
      </c>
      <c r="M30" s="247"/>
    </row>
    <row r="31" spans="2:13">
      <c r="B31" s="251">
        <f>B30+1</f>
        <v>8</v>
      </c>
      <c r="C31" s="252"/>
      <c r="D31" s="247" t="s">
        <v>251</v>
      </c>
      <c r="E31" s="247" t="str">
        <f>"(ln "&amp;B30&amp;" / 12)"</f>
        <v>(ln 7 / 12)</v>
      </c>
      <c r="F31" s="252"/>
      <c r="G31" s="252"/>
      <c r="H31" s="252"/>
      <c r="I31" s="272"/>
      <c r="J31" s="272"/>
      <c r="K31" s="272"/>
      <c r="L31" s="273">
        <f>L30/12</f>
        <v>1.5169269216641324E-2</v>
      </c>
      <c r="M31" s="247"/>
    </row>
    <row r="32" spans="2:13">
      <c r="B32" s="251"/>
      <c r="C32" s="252"/>
      <c r="D32" s="247"/>
      <c r="E32" s="247"/>
      <c r="F32" s="252"/>
      <c r="G32" s="252"/>
      <c r="H32" s="252"/>
      <c r="I32" s="272"/>
      <c r="J32" s="272"/>
      <c r="K32" s="272"/>
      <c r="L32" s="273"/>
      <c r="M32" s="247"/>
    </row>
    <row r="33" spans="2:13">
      <c r="B33" s="251">
        <f>B31+1</f>
        <v>9</v>
      </c>
      <c r="C33" s="252"/>
      <c r="D33" s="2" t="str">
        <f>"NET PLANT CARRYING CHARGE ON LINE "&amp;B30&amp;" , w/o depreciation or ROE incentives (Note B)"</f>
        <v>NET PLANT CARRYING CHARGE ON LINE 7 , w/o depreciation or ROE incentives (Note B)</v>
      </c>
      <c r="E33" s="247"/>
      <c r="F33" s="252"/>
      <c r="G33" s="252"/>
      <c r="H33" s="252"/>
      <c r="I33" s="272"/>
      <c r="J33" s="272"/>
      <c r="K33" s="272"/>
      <c r="L33" s="273"/>
      <c r="M33" s="247"/>
    </row>
    <row r="34" spans="2:13">
      <c r="B34" s="251">
        <f>B33+1</f>
        <v>10</v>
      </c>
      <c r="C34" s="252"/>
      <c r="D34" s="247" t="s">
        <v>250</v>
      </c>
      <c r="E34" s="247" t="str">
        <f>"( (ln "&amp;B13&amp;" - ln "&amp;B175&amp;" - ln "&amp;B181&amp;" ) /((ln "&amp;$B$95&amp;") x 100) )"</f>
        <v>( (ln 1 - ln 95 - ln 100 ) /((ln 42) x 100) )</v>
      </c>
      <c r="F34" s="252"/>
      <c r="G34" s="252"/>
      <c r="H34" s="252"/>
      <c r="I34" s="272"/>
      <c r="J34" s="272"/>
      <c r="K34" s="272"/>
      <c r="L34" s="273">
        <f>(L13-L175-L181)/L95</f>
        <v>0.14996626714737105</v>
      </c>
      <c r="M34" s="247"/>
    </row>
    <row r="35" spans="2:13">
      <c r="B35" s="251"/>
      <c r="C35" s="252"/>
      <c r="D35" s="247"/>
      <c r="E35" s="247"/>
      <c r="F35" s="252"/>
      <c r="G35" s="252"/>
      <c r="H35" s="252"/>
      <c r="I35" s="272"/>
      <c r="J35" s="272"/>
      <c r="K35" s="272"/>
      <c r="L35" s="273"/>
      <c r="M35" s="247"/>
    </row>
    <row r="36" spans="2:13">
      <c r="B36" s="251">
        <f>B34+1</f>
        <v>11</v>
      </c>
      <c r="C36" s="252"/>
      <c r="D36" s="2" t="str">
        <f>"NET PLANT CARRYING CHARGE ON LINE "&amp;B34&amp;", w/o Return, income taxes or ROE incentives (Note B)"</f>
        <v>NET PLANT CARRYING CHARGE ON LINE 10, w/o Return, income taxes or ROE incentives (Note B)</v>
      </c>
      <c r="E36" s="247"/>
      <c r="F36" s="69"/>
      <c r="G36" s="69"/>
      <c r="H36" s="69"/>
      <c r="I36" s="69"/>
      <c r="J36" s="69"/>
      <c r="K36" s="69"/>
      <c r="L36" s="69"/>
      <c r="M36"/>
    </row>
    <row r="37" spans="2:13">
      <c r="B37" s="251">
        <f>B36+1</f>
        <v>12</v>
      </c>
      <c r="C37" s="252"/>
      <c r="D37" s="247" t="s">
        <v>250</v>
      </c>
      <c r="E37" s="247" t="str">
        <f>"( (ln "&amp;B13&amp;" - ln "&amp;B175&amp;" - ln "&amp;B181&amp;" - ln "&amp;B211&amp;" - ln "&amp;B213&amp;") /((ln "&amp;$B$95&amp;") x 100) )"</f>
        <v>( (ln 1 - ln 95 - ln 100 - ln 125 - ln 126) /((ln 42) x 100) )</v>
      </c>
      <c r="F37" s="69"/>
      <c r="G37" s="69"/>
      <c r="H37" s="69"/>
      <c r="I37" s="69"/>
      <c r="J37" s="69"/>
      <c r="K37" s="69"/>
      <c r="L37" s="274">
        <f>(L13-L175-L181-L211-L213)/L95</f>
        <v>7.7212361199881466E-2</v>
      </c>
      <c r="M37"/>
    </row>
    <row r="38" spans="2:13">
      <c r="B38" s="251"/>
      <c r="C38" s="252"/>
      <c r="D38" s="247"/>
      <c r="E38" s="247"/>
      <c r="F38" s="252"/>
      <c r="G38" s="252"/>
      <c r="H38" s="252"/>
      <c r="I38" s="272"/>
      <c r="J38" s="272"/>
      <c r="K38" s="272"/>
      <c r="L38" s="273"/>
      <c r="M38" s="275"/>
    </row>
    <row r="39" spans="2:13">
      <c r="B39" s="251">
        <f>B37+1</f>
        <v>13</v>
      </c>
      <c r="C39" s="252"/>
      <c r="D39" s="2" t="s">
        <v>590</v>
      </c>
      <c r="E39" s="247"/>
      <c r="F39" s="252"/>
      <c r="G39" s="252"/>
      <c r="H39" s="252"/>
      <c r="I39" s="272"/>
      <c r="J39" s="272"/>
      <c r="K39" s="272"/>
      <c r="L39" s="276">
        <f>'WS K TRUE-UP RTEP RR'!P23</f>
        <v>0</v>
      </c>
      <c r="M39" s="247"/>
    </row>
    <row r="40" spans="2:13">
      <c r="B40" s="251"/>
      <c r="C40" s="252"/>
      <c r="E40" s="247"/>
      <c r="F40" s="252"/>
      <c r="G40" s="252"/>
      <c r="H40" s="252"/>
      <c r="I40" s="272"/>
      <c r="J40" s="272"/>
      <c r="K40" s="272"/>
      <c r="L40" s="273"/>
      <c r="M40" s="247"/>
    </row>
    <row r="41" spans="2:13">
      <c r="B41" s="243"/>
      <c r="C41" s="252"/>
      <c r="E41" s="247"/>
      <c r="F41" s="252"/>
      <c r="G41" s="252"/>
      <c r="H41" s="252"/>
      <c r="I41" s="272"/>
      <c r="J41" s="272"/>
      <c r="K41" s="272"/>
      <c r="L41" s="273"/>
      <c r="M41" s="247"/>
    </row>
    <row r="42" spans="2:13" ht="15.75">
      <c r="B42" s="251">
        <f>+B39+1</f>
        <v>14</v>
      </c>
      <c r="C42" s="252"/>
      <c r="D42" s="1222" t="s">
        <v>432</v>
      </c>
      <c r="E42" s="1222"/>
      <c r="F42" s="1222"/>
      <c r="G42" s="1222"/>
      <c r="H42" s="1222"/>
      <c r="I42" s="1222"/>
      <c r="J42" s="1222"/>
      <c r="K42" s="1222"/>
      <c r="L42" s="1222"/>
      <c r="M42" s="247"/>
    </row>
    <row r="43" spans="2:13">
      <c r="B43" s="251"/>
      <c r="C43" s="252"/>
      <c r="E43" s="247"/>
      <c r="F43" s="252"/>
      <c r="G43" s="252"/>
      <c r="H43" s="252"/>
      <c r="I43" s="272"/>
      <c r="J43" s="272"/>
      <c r="K43" s="272"/>
      <c r="L43" s="273"/>
      <c r="M43" s="247"/>
    </row>
    <row r="44" spans="2:13">
      <c r="B44" s="251">
        <f>+B42+1</f>
        <v>15</v>
      </c>
      <c r="C44" s="252"/>
      <c r="D44" s="2" t="s">
        <v>434</v>
      </c>
      <c r="E44" s="247" t="str">
        <f>"Line "&amp;B152&amp;" Below"</f>
        <v>Line 75 Below</v>
      </c>
      <c r="F44" s="252"/>
      <c r="H44" s="252"/>
      <c r="I44" s="272"/>
      <c r="J44" s="272"/>
      <c r="K44" s="272"/>
      <c r="L44" s="277">
        <f>+G152</f>
        <v>1306069.6100000001</v>
      </c>
      <c r="M44" s="247"/>
    </row>
    <row r="45" spans="2:13">
      <c r="B45" s="251">
        <f>+B44+1</f>
        <v>16</v>
      </c>
      <c r="C45" s="252"/>
      <c r="D45" s="2" t="s">
        <v>472</v>
      </c>
      <c r="E45" s="247"/>
      <c r="F45" s="252"/>
      <c r="H45" s="252"/>
      <c r="I45" s="272"/>
      <c r="J45" s="272"/>
      <c r="K45" s="272"/>
      <c r="L45" s="607">
        <f>'WS F Misc Exp'!D28</f>
        <v>14112.61</v>
      </c>
      <c r="M45" s="247"/>
    </row>
    <row r="46" spans="2:13">
      <c r="B46" s="251">
        <f>+B45+1</f>
        <v>17</v>
      </c>
      <c r="C46" s="252"/>
      <c r="D46" s="2" t="s">
        <v>473</v>
      </c>
      <c r="E46" s="247"/>
      <c r="F46" s="252"/>
      <c r="H46" s="252"/>
      <c r="I46" s="272"/>
      <c r="J46" s="272"/>
      <c r="K46" s="272"/>
      <c r="L46" s="607">
        <f>'WS F Misc Exp'!D32</f>
        <v>0</v>
      </c>
      <c r="M46" s="247"/>
    </row>
    <row r="47" spans="2:13">
      <c r="B47" s="251"/>
      <c r="C47" s="252"/>
      <c r="E47" s="247"/>
      <c r="F47" s="252"/>
      <c r="H47" s="252"/>
      <c r="I47" s="272"/>
      <c r="J47" s="272"/>
      <c r="K47" s="272"/>
      <c r="L47" s="252"/>
      <c r="M47" s="247"/>
    </row>
    <row r="48" spans="2:13" ht="15.75" thickBot="1">
      <c r="B48" s="251">
        <f>+B46+1</f>
        <v>18</v>
      </c>
      <c r="C48" s="252"/>
      <c r="D48" s="2" t="s">
        <v>433</v>
      </c>
      <c r="E48" s="259" t="str">
        <f>"(Line "&amp;B44&amp;" - Line "&amp;B45&amp;" - Line "&amp;B46&amp;")"</f>
        <v>(Line 15 - Line 16 - Line 17)</v>
      </c>
      <c r="F48" s="252"/>
      <c r="H48" s="252"/>
      <c r="I48" s="272"/>
      <c r="J48" s="272"/>
      <c r="K48" s="272"/>
      <c r="L48" s="278">
        <f>+L44-L45-L46</f>
        <v>1291957</v>
      </c>
      <c r="M48" s="247"/>
    </row>
    <row r="49" spans="2:16" ht="15.75" thickTop="1">
      <c r="B49" s="251"/>
      <c r="C49" s="252"/>
      <c r="E49" s="247"/>
      <c r="F49" s="252"/>
      <c r="G49" s="252"/>
      <c r="H49" s="252"/>
      <c r="I49" s="272"/>
      <c r="J49" s="272"/>
      <c r="K49" s="272"/>
      <c r="L49" s="273"/>
      <c r="M49" s="247"/>
    </row>
    <row r="50" spans="2:16">
      <c r="B50" s="251"/>
      <c r="C50" s="252"/>
      <c r="E50" s="247"/>
      <c r="F50" s="252"/>
      <c r="G50" s="252"/>
      <c r="H50" s="252"/>
      <c r="I50" s="272"/>
      <c r="J50" s="272"/>
      <c r="K50" s="272"/>
      <c r="L50" s="273"/>
      <c r="M50" s="247"/>
    </row>
    <row r="51" spans="2:16">
      <c r="B51" s="251"/>
      <c r="C51" s="252"/>
      <c r="E51" s="247"/>
      <c r="F51" s="252"/>
      <c r="G51" s="252"/>
      <c r="H51" s="252"/>
      <c r="I51" s="272"/>
      <c r="J51" s="272"/>
      <c r="K51" s="272"/>
      <c r="L51" s="273"/>
      <c r="M51" s="247"/>
    </row>
    <row r="52" spans="2:16">
      <c r="D52" s="247"/>
      <c r="E52" s="247"/>
      <c r="G52" s="259"/>
      <c r="H52" s="247"/>
      <c r="I52" s="247"/>
      <c r="J52" s="247"/>
      <c r="K52" s="247"/>
      <c r="L52" s="247"/>
      <c r="M52" s="279"/>
    </row>
    <row r="53" spans="2:16">
      <c r="D53" s="247"/>
      <c r="E53" s="247"/>
      <c r="F53" s="252"/>
      <c r="G53" s="259"/>
      <c r="H53" s="247"/>
      <c r="I53" s="247"/>
      <c r="J53" s="247"/>
      <c r="K53" s="247"/>
      <c r="L53" s="247"/>
      <c r="M53" s="279"/>
      <c r="P53" s="280"/>
    </row>
    <row r="54" spans="2:16">
      <c r="D54" s="247"/>
      <c r="E54" s="247"/>
      <c r="F54" s="252" t="str">
        <f>F5</f>
        <v xml:space="preserve">AEP East Companies </v>
      </c>
      <c r="G54" s="259"/>
      <c r="H54" s="247"/>
      <c r="I54" s="247"/>
      <c r="J54" s="247"/>
      <c r="K54" s="247"/>
      <c r="L54" s="247"/>
      <c r="M54" s="279"/>
      <c r="P54" s="280"/>
    </row>
    <row r="55" spans="2:16">
      <c r="D55" s="247"/>
      <c r="E55" s="250"/>
      <c r="F55" s="252" t="str">
        <f>F6</f>
        <v>Transmission Cost of Service Formula Rate</v>
      </c>
      <c r="G55" s="250"/>
      <c r="H55" s="250"/>
      <c r="I55" s="250"/>
      <c r="J55" s="250"/>
      <c r="K55" s="250"/>
      <c r="L55" s="250"/>
      <c r="M55" s="281"/>
      <c r="P55" s="276"/>
    </row>
    <row r="56" spans="2:16">
      <c r="D56" s="247"/>
      <c r="E56" s="250"/>
      <c r="F56" s="264" t="str">
        <f>F7</f>
        <v>Utilizing  Actual/Projected FERC Form 1 Data</v>
      </c>
      <c r="G56" s="250"/>
      <c r="H56" s="250"/>
      <c r="I56" s="250"/>
      <c r="J56" s="250"/>
      <c r="K56" s="250"/>
      <c r="L56" s="250"/>
      <c r="M56" s="282"/>
      <c r="P56" s="276"/>
    </row>
    <row r="57" spans="2:16">
      <c r="D57" s="247"/>
      <c r="E57" s="250"/>
      <c r="F57" s="252"/>
      <c r="G57" s="250"/>
      <c r="H57" s="250"/>
      <c r="I57" s="250"/>
      <c r="J57" s="250"/>
      <c r="K57" s="250"/>
      <c r="L57" s="250"/>
      <c r="M57" s="250"/>
      <c r="P57" s="276"/>
    </row>
    <row r="58" spans="2:16">
      <c r="D58" s="247"/>
      <c r="E58" s="250"/>
      <c r="F58" s="252" t="str">
        <f>F9</f>
        <v>Ohio Power Company</v>
      </c>
      <c r="G58" s="250"/>
      <c r="H58" s="250"/>
      <c r="I58" s="250"/>
      <c r="J58" s="250"/>
      <c r="K58" s="250"/>
      <c r="L58" s="250"/>
      <c r="M58" s="250"/>
      <c r="P58" s="276"/>
    </row>
    <row r="59" spans="2:16">
      <c r="D59" s="247"/>
      <c r="E59" s="264"/>
      <c r="F59" s="264"/>
      <c r="G59" s="264"/>
      <c r="H59" s="264"/>
      <c r="I59" s="264"/>
      <c r="J59" s="264"/>
      <c r="K59" s="264"/>
      <c r="L59" s="250"/>
      <c r="M59" s="250"/>
      <c r="P59" s="276"/>
    </row>
    <row r="60" spans="2:16">
      <c r="D60" s="252" t="s">
        <v>121</v>
      </c>
      <c r="E60" s="252" t="s">
        <v>122</v>
      </c>
      <c r="F60" s="252"/>
      <c r="G60" s="252" t="s">
        <v>123</v>
      </c>
      <c r="H60" s="250" t="s">
        <v>114</v>
      </c>
      <c r="I60" s="1217" t="s">
        <v>124</v>
      </c>
      <c r="J60" s="1218"/>
      <c r="K60" s="250"/>
      <c r="L60" s="253" t="s">
        <v>125</v>
      </c>
      <c r="M60" s="250"/>
    </row>
    <row r="61" spans="2:16">
      <c r="B61" s="243"/>
      <c r="D61" s="69"/>
      <c r="E61" s="69"/>
      <c r="F61" s="69"/>
      <c r="G61" s="277"/>
      <c r="H61" s="250"/>
      <c r="I61" s="250"/>
      <c r="J61" s="284"/>
      <c r="K61" s="250"/>
      <c r="M61" s="250"/>
    </row>
    <row r="62" spans="2:16" ht="15.75">
      <c r="B62" s="285"/>
      <c r="C62" s="252"/>
      <c r="D62" s="69"/>
      <c r="E62" s="286" t="s">
        <v>95</v>
      </c>
      <c r="F62" s="287"/>
      <c r="G62" s="250"/>
      <c r="H62" s="250"/>
      <c r="I62" s="250"/>
      <c r="J62" s="252"/>
      <c r="K62" s="250"/>
      <c r="L62" s="288" t="s">
        <v>118</v>
      </c>
      <c r="M62" s="250"/>
      <c r="P62" s="280"/>
    </row>
    <row r="63" spans="2:16" ht="15.75">
      <c r="B63" s="243"/>
      <c r="C63" s="252"/>
      <c r="D63" s="289" t="s">
        <v>94</v>
      </c>
      <c r="E63" s="290" t="s">
        <v>112</v>
      </c>
      <c r="F63" s="250"/>
      <c r="G63" s="289" t="s">
        <v>81</v>
      </c>
      <c r="H63" s="291"/>
      <c r="I63" s="1219" t="s">
        <v>119</v>
      </c>
      <c r="J63" s="1220"/>
      <c r="K63" s="291"/>
      <c r="L63" s="289" t="s">
        <v>115</v>
      </c>
      <c r="M63" s="250"/>
    </row>
    <row r="64" spans="2:16">
      <c r="B64" s="251" t="str">
        <f>B11</f>
        <v>Line</v>
      </c>
      <c r="C64" s="252"/>
      <c r="D64" s="247"/>
      <c r="E64" s="250"/>
      <c r="F64" s="250"/>
      <c r="G64" s="815" t="s">
        <v>354</v>
      </c>
      <c r="H64" s="250"/>
      <c r="I64" s="250"/>
      <c r="J64" s="250"/>
      <c r="K64" s="250"/>
      <c r="L64" s="250"/>
      <c r="M64" s="250"/>
    </row>
    <row r="65" spans="2:15" ht="15.75" thickBot="1">
      <c r="B65" s="257" t="str">
        <f>B12</f>
        <v>No.</v>
      </c>
      <c r="C65" s="252"/>
      <c r="D65" s="247" t="s">
        <v>82</v>
      </c>
      <c r="E65" s="264"/>
      <c r="F65" s="264"/>
      <c r="G65" s="250"/>
      <c r="H65" s="250"/>
      <c r="I65" s="264"/>
      <c r="J65" s="250"/>
      <c r="K65" s="250"/>
      <c r="L65" s="250"/>
      <c r="M65" s="250"/>
    </row>
    <row r="66" spans="2:15">
      <c r="B66" s="251">
        <f>+B48+1</f>
        <v>19</v>
      </c>
      <c r="C66" s="252"/>
      <c r="D66" s="247" t="s">
        <v>126</v>
      </c>
      <c r="E66" s="250" t="str">
        <f>"(Worksheet A ln "&amp;'WS A - RB Support'!A23&amp;"."&amp;'WS A - RB Support'!C8&amp;")"</f>
        <v>(Worksheet A ln 14.(b))</v>
      </c>
      <c r="F66" s="250"/>
      <c r="G66" s="263">
        <f>'WS A - RB Support'!C23</f>
        <v>0</v>
      </c>
      <c r="H66" s="263"/>
      <c r="I66" s="264" t="s">
        <v>127</v>
      </c>
      <c r="J66" s="265">
        <v>0</v>
      </c>
      <c r="K66" s="250"/>
      <c r="L66" s="292">
        <f>+J66*G66</f>
        <v>0</v>
      </c>
      <c r="M66" s="250"/>
    </row>
    <row r="67" spans="2:15">
      <c r="B67" s="251">
        <f>+B66+1</f>
        <v>20</v>
      </c>
      <c r="C67" s="252"/>
      <c r="D67" s="247" t="s">
        <v>377</v>
      </c>
      <c r="E67" s="250" t="str">
        <f>"(Worksheet A ln "&amp;'WS A - RB Support'!A23&amp;"."&amp;'WS A - RB Support'!D8&amp;")"</f>
        <v>(Worksheet A ln 14.(c))</v>
      </c>
      <c r="F67" s="250"/>
      <c r="G67" s="292">
        <f>-'WS A - RB Support'!D23</f>
        <v>0</v>
      </c>
      <c r="H67" s="263"/>
      <c r="I67" s="264" t="s">
        <v>127</v>
      </c>
      <c r="J67" s="265">
        <v>0</v>
      </c>
      <c r="K67" s="250"/>
      <c r="L67" s="292">
        <f>+J67*G67</f>
        <v>0</v>
      </c>
      <c r="M67" s="250"/>
    </row>
    <row r="68" spans="2:15">
      <c r="B68" s="251">
        <f t="shared" ref="B68:B74" si="0">+B67+1</f>
        <v>21</v>
      </c>
      <c r="C68" s="305"/>
      <c r="D68" s="293" t="s">
        <v>128</v>
      </c>
      <c r="E68" s="250" t="str">
        <f>"(Worksheet A ln "&amp;'WS A - RB Support'!A23&amp;"."&amp;'WS A - RB Support'!E8&amp;" &amp; TCOS Ln "&amp;B237&amp;")"</f>
        <v>(Worksheet A ln 14.(d) &amp; TCOS Ln 134)</v>
      </c>
      <c r="F68" s="294"/>
      <c r="G68" s="263">
        <f>'WS A - RB Support'!E23</f>
        <v>3771355810.1053853</v>
      </c>
      <c r="H68" s="263"/>
      <c r="I68" s="295" t="s">
        <v>129</v>
      </c>
      <c r="J68" s="265" t="s">
        <v>114</v>
      </c>
      <c r="K68" s="296"/>
      <c r="L68" s="292">
        <f>+L237</f>
        <v>3771560679.9469085</v>
      </c>
      <c r="M68" s="296"/>
    </row>
    <row r="69" spans="2:15">
      <c r="B69" s="251">
        <f t="shared" si="0"/>
        <v>22</v>
      </c>
      <c r="C69" s="305"/>
      <c r="D69" s="247" t="s">
        <v>378</v>
      </c>
      <c r="E69" s="250" t="str">
        <f>"(Worksheet A ln "&amp;'WS A - RB Support'!A23&amp;"."&amp;'WS A - RB Support'!F8&amp;")"</f>
        <v>(Worksheet A ln 14.(e))</v>
      </c>
      <c r="F69" s="294"/>
      <c r="G69" s="263">
        <f>-'WS A - RB Support'!F23</f>
        <v>-3119.849999999999</v>
      </c>
      <c r="H69" s="263"/>
      <c r="I69" s="295" t="s">
        <v>120</v>
      </c>
      <c r="J69" s="265">
        <f>L239</f>
        <v>1</v>
      </c>
      <c r="K69" s="296"/>
      <c r="L69" s="292">
        <f>+G69*J69</f>
        <v>-3119.849999999999</v>
      </c>
      <c r="M69" s="296"/>
    </row>
    <row r="70" spans="2:15">
      <c r="B70" s="251">
        <f>+B69+1</f>
        <v>23</v>
      </c>
      <c r="C70" s="305"/>
      <c r="D70" s="247" t="s">
        <v>130</v>
      </c>
      <c r="E70" s="250" t="str">
        <f>"(Worksheet A ln "&amp;'WS A - RB Support'!A23&amp;"."&amp;'WS A - RB Support'!G8&amp;")"</f>
        <v>(Worksheet A ln 14.(f))</v>
      </c>
      <c r="F70" s="250"/>
      <c r="G70" s="263">
        <f>'WS A - RB Support'!G23</f>
        <v>7468935078.8623066</v>
      </c>
      <c r="H70" s="263"/>
      <c r="I70" s="264" t="s">
        <v>127</v>
      </c>
      <c r="J70" s="265">
        <v>0</v>
      </c>
      <c r="K70" s="250"/>
      <c r="L70" s="292">
        <f>+J70*G70</f>
        <v>0</v>
      </c>
      <c r="M70" s="250"/>
    </row>
    <row r="71" spans="2:15">
      <c r="B71" s="251">
        <f t="shared" si="0"/>
        <v>24</v>
      </c>
      <c r="C71" s="305"/>
      <c r="D71" s="247" t="s">
        <v>375</v>
      </c>
      <c r="E71" s="250" t="str">
        <f>"(Worksheet A ln "&amp;'WS A - RB Support'!A23&amp;"."&amp;'WS A - RB Support'!H8&amp;")"</f>
        <v>(Worksheet A ln 14.(g))</v>
      </c>
      <c r="F71" s="250"/>
      <c r="G71" s="292">
        <f>-'WS A - RB Support'!H23</f>
        <v>0</v>
      </c>
      <c r="H71" s="263"/>
      <c r="I71" s="264" t="s">
        <v>127</v>
      </c>
      <c r="J71" s="265">
        <v>0</v>
      </c>
      <c r="K71" s="250"/>
      <c r="L71" s="292">
        <f>+G71*J71</f>
        <v>0</v>
      </c>
      <c r="M71" s="250"/>
    </row>
    <row r="72" spans="2:15">
      <c r="B72" s="251">
        <f t="shared" si="0"/>
        <v>25</v>
      </c>
      <c r="C72" s="305"/>
      <c r="D72" s="247" t="s">
        <v>131</v>
      </c>
      <c r="E72" s="250" t="str">
        <f>"(Worksheet A ln "&amp;'WS A - RB Support'!A23&amp;"."&amp;'WS A - RB Support'!I8&amp;")"</f>
        <v>(Worksheet A ln 14.(h))</v>
      </c>
      <c r="F72" s="250"/>
      <c r="G72" s="263">
        <f>'WS A - RB Support'!I23</f>
        <v>1157335091.8384614</v>
      </c>
      <c r="H72" s="263"/>
      <c r="I72" s="264" t="s">
        <v>132</v>
      </c>
      <c r="J72" s="265">
        <f>L257</f>
        <v>0.15100284283719081</v>
      </c>
      <c r="K72" s="250"/>
      <c r="L72" s="292">
        <f>+J72*G72</f>
        <v>174760888.98284897</v>
      </c>
      <c r="M72" s="250"/>
    </row>
    <row r="73" spans="2:15">
      <c r="B73" s="251">
        <f t="shared" si="0"/>
        <v>26</v>
      </c>
      <c r="C73" s="305"/>
      <c r="D73" s="247" t="s">
        <v>376</v>
      </c>
      <c r="E73" s="250" t="str">
        <f>"(Worksheet A ln "&amp;'WS A - RB Support'!A23&amp;"."&amp;'WS A - RB Support'!J8&amp;")"</f>
        <v>(Worksheet A ln 14.(i))</v>
      </c>
      <c r="F73" s="250"/>
      <c r="G73" s="292">
        <f>-'WS A - RB Support'!J23</f>
        <v>-633373.73692307703</v>
      </c>
      <c r="H73" s="263"/>
      <c r="I73" s="264" t="s">
        <v>132</v>
      </c>
      <c r="J73" s="265">
        <f>L257</f>
        <v>0.15100284283719081</v>
      </c>
      <c r="K73" s="250"/>
      <c r="L73" s="292">
        <f>+G73*J73</f>
        <v>-95641.234853799644</v>
      </c>
      <c r="M73" s="250"/>
    </row>
    <row r="74" spans="2:15">
      <c r="B74" s="251">
        <f t="shared" si="0"/>
        <v>27</v>
      </c>
      <c r="C74" s="305"/>
      <c r="D74" s="247" t="s">
        <v>133</v>
      </c>
      <c r="E74" s="250" t="str">
        <f>"(Worksheet A ln "&amp;'WS A - RB Support'!A23&amp;"."&amp;'WS A - RB Support'!K8&amp;")"</f>
        <v>(Worksheet A ln 14.(j))</v>
      </c>
      <c r="F74" s="250"/>
      <c r="G74" s="263">
        <f>'WS A - RB Support'!K23</f>
        <v>20867818.916153852</v>
      </c>
      <c r="H74" s="263"/>
      <c r="I74" s="264" t="s">
        <v>132</v>
      </c>
      <c r="J74" s="265">
        <f>L257</f>
        <v>0.15100284283719081</v>
      </c>
      <c r="K74" s="250"/>
      <c r="L74" s="1184">
        <f>+J74*G74</f>
        <v>3151099.9801509376</v>
      </c>
      <c r="M74" s="250"/>
      <c r="N74" s="247"/>
      <c r="O74" s="247"/>
    </row>
    <row r="75" spans="2:15">
      <c r="B75" s="251" t="s">
        <v>1350</v>
      </c>
      <c r="C75" s="305"/>
      <c r="D75" s="247" t="s">
        <v>1326</v>
      </c>
      <c r="E75" s="250" t="str">
        <f>"(Worksheet A ln "&amp;'WS A - RB Support'!A23&amp;"."&amp;'WS A - RB Support'!L8&amp;")"</f>
        <v>(Worksheet A ln 14.(k))</v>
      </c>
      <c r="F75" s="250"/>
      <c r="G75" s="263">
        <f>'WS A - RB Support'!L23</f>
        <v>41774.298461538463</v>
      </c>
      <c r="H75" s="263"/>
      <c r="I75" s="264" t="s">
        <v>1328</v>
      </c>
      <c r="J75" s="265">
        <f>L246</f>
        <v>0</v>
      </c>
      <c r="K75" s="250"/>
      <c r="L75" s="1184">
        <f t="shared" ref="L75:L76" si="1">+J75*G75</f>
        <v>0</v>
      </c>
      <c r="M75" s="250"/>
      <c r="N75" s="247"/>
      <c r="O75" s="247"/>
    </row>
    <row r="76" spans="2:15" ht="15.75" thickBot="1">
      <c r="B76" s="251" t="s">
        <v>1351</v>
      </c>
      <c r="C76" s="305"/>
      <c r="D76" s="247" t="s">
        <v>1352</v>
      </c>
      <c r="E76" s="250" t="str">
        <f>"(Worksheet A ln "&amp;'WS A - RB Support'!A23&amp;"."&amp;'WS A - RB Support'!M8&amp;")"</f>
        <v>(Worksheet A ln 14.(l))</v>
      </c>
      <c r="F76" s="250"/>
      <c r="G76" s="298">
        <f>'WS A - RB Support'!M23</f>
        <v>0</v>
      </c>
      <c r="H76" s="263"/>
      <c r="I76" s="264" t="s">
        <v>1328</v>
      </c>
      <c r="J76" s="265">
        <f>L246</f>
        <v>0</v>
      </c>
      <c r="K76" s="250"/>
      <c r="L76" s="353">
        <f t="shared" si="1"/>
        <v>0</v>
      </c>
      <c r="M76" s="250"/>
      <c r="N76" s="247"/>
      <c r="O76" s="247"/>
    </row>
    <row r="77" spans="2:15" ht="15.75">
      <c r="B77" s="251">
        <f>+B74+1</f>
        <v>28</v>
      </c>
      <c r="C77" s="305"/>
      <c r="D77" s="247" t="s">
        <v>47</v>
      </c>
      <c r="E77" s="252" t="str">
        <f>"(sum lns "&amp;B66&amp;" to "&amp;B74&amp;")"</f>
        <v>(sum lns 19 to 27)</v>
      </c>
      <c r="F77" s="4"/>
      <c r="G77" s="263">
        <f>SUM(G66:G76)</f>
        <v>12417899080.433844</v>
      </c>
      <c r="H77" s="263"/>
      <c r="I77" s="286" t="s">
        <v>749</v>
      </c>
      <c r="J77" s="299">
        <f>+L77/G77</f>
        <v>0.31803881495927533</v>
      </c>
      <c r="K77" s="250"/>
      <c r="L77" s="263">
        <f>SUM(L66:L76)</f>
        <v>3949373907.8250546</v>
      </c>
      <c r="M77" s="250"/>
      <c r="N77" s="247"/>
      <c r="O77" s="247"/>
    </row>
    <row r="78" spans="2:15" ht="15.75">
      <c r="B78" s="251"/>
      <c r="C78" s="252"/>
      <c r="D78" s="247"/>
      <c r="E78" s="79"/>
      <c r="F78" s="4"/>
      <c r="G78" s="263"/>
      <c r="H78" s="263"/>
      <c r="I78" s="287" t="s">
        <v>216</v>
      </c>
      <c r="J78" s="300">
        <f>+L68/(G70+G68+G71)</f>
        <v>0.33553941950458621</v>
      </c>
      <c r="K78" s="250"/>
      <c r="L78" s="263"/>
      <c r="M78" s="250"/>
      <c r="N78" s="301"/>
      <c r="O78" s="247"/>
    </row>
    <row r="79" spans="2:15">
      <c r="B79" s="251">
        <f>+B77+1</f>
        <v>29</v>
      </c>
      <c r="C79" s="252"/>
      <c r="D79" s="247" t="s">
        <v>24</v>
      </c>
      <c r="E79" s="264"/>
      <c r="F79" s="264"/>
      <c r="G79" s="263"/>
      <c r="H79" s="302"/>
      <c r="I79" s="264"/>
      <c r="J79" s="303"/>
      <c r="K79" s="250"/>
      <c r="L79" s="263"/>
      <c r="M79" s="250"/>
      <c r="N79" s="250"/>
      <c r="O79" s="250"/>
    </row>
    <row r="80" spans="2:15">
      <c r="B80" s="251">
        <f>+B79+1</f>
        <v>30</v>
      </c>
      <c r="C80" s="252"/>
      <c r="D80" s="247" t="str">
        <f>+D66</f>
        <v xml:space="preserve">  Production</v>
      </c>
      <c r="E80" s="250" t="str">
        <f>"(Worksheet A ln "&amp;'WS A - RB Support'!A42&amp;"."&amp;'WS A - RB Support'!C27&amp;")"</f>
        <v>(Worksheet A ln 28.(b))</v>
      </c>
      <c r="F80" s="250"/>
      <c r="G80" s="263">
        <f>'WS A - RB Support'!C42</f>
        <v>0</v>
      </c>
      <c r="H80" s="263"/>
      <c r="I80" s="264" t="s">
        <v>127</v>
      </c>
      <c r="J80" s="265">
        <v>0</v>
      </c>
      <c r="K80" s="250"/>
      <c r="L80" s="292">
        <f>+J80*G80</f>
        <v>0</v>
      </c>
      <c r="M80" s="250"/>
      <c r="N80" s="250"/>
      <c r="O80" s="250"/>
    </row>
    <row r="81" spans="2:15">
      <c r="B81" s="251">
        <f t="shared" ref="B81:B88" si="2">+B80+1</f>
        <v>31</v>
      </c>
      <c r="C81" s="252"/>
      <c r="D81" s="247" t="s">
        <v>377</v>
      </c>
      <c r="E81" s="250" t="str">
        <f>"(Worksheet A ln "&amp;'WS A - RB Support'!A42&amp;"."&amp;'WS A - RB Support'!D27&amp;")"</f>
        <v>(Worksheet A ln 28.(c))</v>
      </c>
      <c r="F81" s="250"/>
      <c r="G81" s="292">
        <f>-'WS A - RB Support'!D42</f>
        <v>0</v>
      </c>
      <c r="H81" s="263"/>
      <c r="I81" s="264" t="s">
        <v>127</v>
      </c>
      <c r="J81" s="265">
        <v>0</v>
      </c>
      <c r="K81" s="250"/>
      <c r="L81" s="292">
        <f>+J81*G81</f>
        <v>0</v>
      </c>
      <c r="M81" s="250"/>
      <c r="N81" s="250"/>
      <c r="O81" s="250"/>
    </row>
    <row r="82" spans="2:15" ht="15.75">
      <c r="B82" s="251">
        <f t="shared" si="2"/>
        <v>32</v>
      </c>
      <c r="C82" s="305"/>
      <c r="D82" s="293" t="str">
        <f>D68</f>
        <v xml:space="preserve">  Transmission</v>
      </c>
      <c r="E82" s="250" t="str">
        <f>"(Worksheet A ln "&amp;'WS A - RB Support'!A42&amp;"."&amp;'WS A - RB Support'!E27&amp;" &amp; "&amp;"ln "&amp;'WS A - RB Support'!A64&amp;"."&amp;'WS A - RB Support'!D47&amp;")"</f>
        <v>(Worksheet A ln 28.(d) &amp; ln 43.(c))</v>
      </c>
      <c r="F82" s="294"/>
      <c r="G82" s="297">
        <f>'WS A - RB Support'!E42</f>
        <v>979303201.37153828</v>
      </c>
      <c r="H82" s="263"/>
      <c r="I82" s="814" t="s">
        <v>27</v>
      </c>
      <c r="J82" s="304">
        <f>L82/G82</f>
        <v>1</v>
      </c>
      <c r="K82" s="296"/>
      <c r="L82" s="292">
        <f>'WS A - RB Support'!D64</f>
        <v>979303201.37153828</v>
      </c>
      <c r="M82" s="296"/>
      <c r="N82" s="250"/>
      <c r="O82" s="250"/>
    </row>
    <row r="83" spans="2:15" ht="15.75">
      <c r="B83" s="251">
        <f t="shared" si="2"/>
        <v>33</v>
      </c>
      <c r="C83" s="305"/>
      <c r="D83" s="247" t="s">
        <v>378</v>
      </c>
      <c r="E83" s="250" t="str">
        <f>"(Worksheet A ln "&amp;'WS A - RB Support'!A42&amp;"."&amp;'WS A - RB Support'!F27&amp;")"</f>
        <v>(Worksheet A ln 28.(e))</v>
      </c>
      <c r="F83" s="294"/>
      <c r="G83" s="292">
        <f>-'WS A - RB Support'!F42</f>
        <v>-3119.849999999999</v>
      </c>
      <c r="H83" s="263"/>
      <c r="I83" s="814" t="s">
        <v>27</v>
      </c>
      <c r="J83" s="265">
        <f>+J82</f>
        <v>1</v>
      </c>
      <c r="K83" s="296"/>
      <c r="L83" s="292">
        <f t="shared" ref="L83:L90" si="3">+J83*G83</f>
        <v>-3119.849999999999</v>
      </c>
      <c r="M83" s="296"/>
      <c r="N83" s="250"/>
      <c r="O83" s="250"/>
    </row>
    <row r="84" spans="2:15">
      <c r="B84" s="251">
        <f>+B83+1</f>
        <v>34</v>
      </c>
      <c r="C84" s="305"/>
      <c r="D84" s="247" t="str">
        <f>+D70</f>
        <v xml:space="preserve">  Distribution</v>
      </c>
      <c r="E84" s="250" t="str">
        <f>"(Worksheet A ln "&amp;'WS A - RB Support'!A42&amp;"."&amp;'WS A - RB Support'!G27&amp;")"</f>
        <v>(Worksheet A ln 28.(f))</v>
      </c>
      <c r="F84" s="250"/>
      <c r="G84" s="263">
        <f>'WS A - RB Support'!G42</f>
        <v>2112919178.7161543</v>
      </c>
      <c r="H84" s="263"/>
      <c r="I84" s="264" t="s">
        <v>127</v>
      </c>
      <c r="J84" s="265">
        <v>0</v>
      </c>
      <c r="K84" s="250"/>
      <c r="L84" s="292">
        <f t="shared" si="3"/>
        <v>0</v>
      </c>
      <c r="M84" s="250"/>
      <c r="N84" s="250"/>
      <c r="O84" s="250"/>
    </row>
    <row r="85" spans="2:15">
      <c r="B85" s="251">
        <f t="shared" si="2"/>
        <v>35</v>
      </c>
      <c r="C85" s="305"/>
      <c r="D85" s="247" t="s">
        <v>375</v>
      </c>
      <c r="E85" s="250" t="str">
        <f>"(Worksheet A ln "&amp;'WS A - RB Support'!A42&amp;"."&amp;'WS A - RB Support'!H27&amp;")"</f>
        <v>(Worksheet A ln 28.(g))</v>
      </c>
      <c r="F85" s="250"/>
      <c r="G85" s="292">
        <f>-'WS A - RB Support'!H42</f>
        <v>0</v>
      </c>
      <c r="H85" s="263"/>
      <c r="I85" s="264" t="s">
        <v>127</v>
      </c>
      <c r="J85" s="265">
        <v>0</v>
      </c>
      <c r="K85" s="250"/>
      <c r="L85" s="292">
        <f t="shared" si="3"/>
        <v>0</v>
      </c>
      <c r="M85" s="250"/>
      <c r="N85" s="250"/>
      <c r="O85" s="250"/>
    </row>
    <row r="86" spans="2:15">
      <c r="B86" s="251">
        <f t="shared" si="2"/>
        <v>36</v>
      </c>
      <c r="C86" s="305"/>
      <c r="D86" s="247" t="str">
        <f>+D72</f>
        <v xml:space="preserve">  General Plant   </v>
      </c>
      <c r="E86" s="250" t="str">
        <f>"(Worksheet A ln "&amp;'WS A - RB Support'!A42&amp;"."&amp;'WS A - RB Support'!I27&amp;")"</f>
        <v>(Worksheet A ln 28.(h))</v>
      </c>
      <c r="F86" s="250"/>
      <c r="G86" s="263">
        <f>'WS A - RB Support'!I42</f>
        <v>308032050.38461536</v>
      </c>
      <c r="H86" s="263"/>
      <c r="I86" s="264" t="s">
        <v>132</v>
      </c>
      <c r="J86" s="265">
        <f>L257</f>
        <v>0.15100284283719081</v>
      </c>
      <c r="K86" s="250"/>
      <c r="L86" s="292">
        <f t="shared" si="3"/>
        <v>46513715.293045714</v>
      </c>
      <c r="M86" s="250"/>
      <c r="N86" s="250"/>
      <c r="O86" s="250"/>
    </row>
    <row r="87" spans="2:15">
      <c r="B87" s="251">
        <f t="shared" si="2"/>
        <v>37</v>
      </c>
      <c r="C87" s="305"/>
      <c r="D87" s="247" t="s">
        <v>376</v>
      </c>
      <c r="E87" s="250" t="str">
        <f>"(Worksheet A ln "&amp;'WS A - RB Support'!A42&amp;"."&amp;'WS A - RB Support'!J27&amp;")"</f>
        <v>(Worksheet A ln 28.(i))</v>
      </c>
      <c r="F87" s="250"/>
      <c r="G87" s="292">
        <f>-'WS A - RB Support'!J42</f>
        <v>-401466.36615384609</v>
      </c>
      <c r="H87" s="263"/>
      <c r="I87" s="264" t="s">
        <v>132</v>
      </c>
      <c r="J87" s="265">
        <f>L257</f>
        <v>0.15100284283719081</v>
      </c>
      <c r="K87" s="250"/>
      <c r="L87" s="292">
        <f t="shared" si="3"/>
        <v>-60622.562592747323</v>
      </c>
      <c r="M87" s="250"/>
      <c r="N87" s="250"/>
      <c r="O87" s="250"/>
    </row>
    <row r="88" spans="2:15">
      <c r="B88" s="251">
        <f t="shared" si="2"/>
        <v>38</v>
      </c>
      <c r="C88" s="305"/>
      <c r="D88" s="247" t="str">
        <f>+D74</f>
        <v xml:space="preserve">  Intangible Plant</v>
      </c>
      <c r="E88" s="250" t="str">
        <f>"(Worksheet A ln "&amp;'WS A - RB Support'!A42&amp;"."&amp;'WS A - RB Support'!K27&amp;")"</f>
        <v>(Worksheet A ln 28.(j))</v>
      </c>
      <c r="F88" s="250"/>
      <c r="G88" s="263">
        <f>'WS A - RB Support'!K42</f>
        <v>16561898.723846154</v>
      </c>
      <c r="H88" s="263"/>
      <c r="I88" s="264" t="s">
        <v>132</v>
      </c>
      <c r="J88" s="265">
        <f>L257</f>
        <v>0.15100284283719081</v>
      </c>
      <c r="K88" s="250"/>
      <c r="L88" s="1184">
        <f t="shared" si="3"/>
        <v>2500893.7900824118</v>
      </c>
      <c r="M88" s="250"/>
      <c r="N88" s="250"/>
      <c r="O88" s="250"/>
    </row>
    <row r="89" spans="2:15">
      <c r="B89" s="251" t="s">
        <v>1353</v>
      </c>
      <c r="C89" s="305"/>
      <c r="D89" s="247" t="s">
        <v>1326</v>
      </c>
      <c r="E89" s="250" t="str">
        <f>"(Worksheet A ln "&amp;'WS A - RB Support'!A42&amp;"."&amp;'WS A - RB Support'!L27&amp;")"</f>
        <v>(Worksheet A ln 28.(k))</v>
      </c>
      <c r="F89" s="250"/>
      <c r="G89" s="263">
        <f>'WS A - RB Support'!L42</f>
        <v>-1371414.8823076924</v>
      </c>
      <c r="H89" s="263"/>
      <c r="I89" s="264" t="s">
        <v>1328</v>
      </c>
      <c r="J89" s="265">
        <f>L246</f>
        <v>0</v>
      </c>
      <c r="K89" s="250"/>
      <c r="L89" s="1184">
        <f t="shared" si="3"/>
        <v>0</v>
      </c>
      <c r="M89" s="250"/>
      <c r="N89" s="250"/>
      <c r="O89" s="250"/>
    </row>
    <row r="90" spans="2:15" ht="15.75" thickBot="1">
      <c r="B90" s="251" t="s">
        <v>1354</v>
      </c>
      <c r="C90" s="305"/>
      <c r="D90" s="247" t="s">
        <v>1352</v>
      </c>
      <c r="E90" s="250" t="str">
        <f>"(Worksheet A ln "&amp;'WS A - RB Support'!A42&amp;"."&amp;'WS A - RB Support'!M27&amp;")"</f>
        <v>(Worksheet A ln 28.(l))</v>
      </c>
      <c r="F90" s="250"/>
      <c r="G90" s="298">
        <f>'WS A - RB Support'!M42</f>
        <v>0</v>
      </c>
      <c r="H90" s="263"/>
      <c r="I90" s="264" t="s">
        <v>1328</v>
      </c>
      <c r="J90" s="265">
        <f>L246</f>
        <v>0</v>
      </c>
      <c r="K90" s="250"/>
      <c r="L90" s="353">
        <f t="shared" si="3"/>
        <v>0</v>
      </c>
      <c r="M90" s="250"/>
      <c r="N90" s="250"/>
      <c r="O90" s="250"/>
    </row>
    <row r="91" spans="2:15">
      <c r="B91" s="251">
        <f>+B88+1</f>
        <v>39</v>
      </c>
      <c r="C91" s="305"/>
      <c r="D91" s="247" t="s">
        <v>46</v>
      </c>
      <c r="E91" s="801" t="str">
        <f>"(sum lns "&amp;B80&amp;" to "&amp;B88&amp;")"</f>
        <v>(sum lns 30 to 38)</v>
      </c>
      <c r="F91" s="483"/>
      <c r="G91" s="263">
        <f>SUM(G80:G90)</f>
        <v>3415040328.097693</v>
      </c>
      <c r="H91" s="263"/>
      <c r="I91" s="264"/>
      <c r="J91" s="250"/>
      <c r="K91" s="263"/>
      <c r="L91" s="263">
        <f>SUM(L80:L90)</f>
        <v>1028254068.0420737</v>
      </c>
      <c r="M91" s="250"/>
      <c r="N91" s="250"/>
      <c r="O91" s="250"/>
    </row>
    <row r="92" spans="2:15">
      <c r="B92" s="251"/>
      <c r="C92" s="252"/>
      <c r="E92" s="184"/>
      <c r="F92" s="483"/>
      <c r="G92" s="263"/>
      <c r="H92" s="263"/>
      <c r="I92" s="264"/>
      <c r="J92" s="306"/>
      <c r="K92" s="250"/>
      <c r="L92" s="263"/>
      <c r="M92" s="250"/>
      <c r="N92" s="250"/>
      <c r="O92" s="250"/>
    </row>
    <row r="93" spans="2:15">
      <c r="B93" s="251">
        <f>+B91+1</f>
        <v>40</v>
      </c>
      <c r="C93" s="252"/>
      <c r="D93" s="247" t="s">
        <v>83</v>
      </c>
      <c r="E93" s="264"/>
      <c r="F93" s="264"/>
      <c r="G93" s="263"/>
      <c r="H93" s="263"/>
      <c r="I93" s="264"/>
      <c r="J93" s="250"/>
      <c r="K93" s="250"/>
      <c r="L93" s="263"/>
      <c r="M93" s="250"/>
      <c r="N93" s="250"/>
      <c r="O93" s="250"/>
    </row>
    <row r="94" spans="2:15">
      <c r="B94" s="251">
        <f t="shared" ref="B94:B98" si="4">+B93+1</f>
        <v>41</v>
      </c>
      <c r="C94" s="305"/>
      <c r="D94" s="247" t="str">
        <f>+D80</f>
        <v xml:space="preserve">  Production</v>
      </c>
      <c r="E94" s="250" t="str">
        <f>" (ln "&amp;B66&amp;" + ln "&amp;B67&amp;" - ln "&amp;B80&amp;" - ln "&amp;B81&amp;")"</f>
        <v xml:space="preserve"> (ln 19 + ln 20 - ln 30 - ln 31)</v>
      </c>
      <c r="F94" s="250"/>
      <c r="G94" s="263">
        <f>G66+G67-G80-G81</f>
        <v>0</v>
      </c>
      <c r="H94" s="263"/>
      <c r="I94" s="264"/>
      <c r="J94" s="307"/>
      <c r="K94" s="250"/>
      <c r="L94" s="263">
        <f>L66+L67-L80-L81</f>
        <v>0</v>
      </c>
      <c r="M94" s="250"/>
      <c r="N94" s="250"/>
      <c r="O94" s="250"/>
    </row>
    <row r="95" spans="2:15">
      <c r="B95" s="251">
        <f t="shared" si="4"/>
        <v>42</v>
      </c>
      <c r="C95" s="305"/>
      <c r="D95" s="247" t="str">
        <f>+D82</f>
        <v xml:space="preserve">  Transmission</v>
      </c>
      <c r="E95" s="250" t="str">
        <f>" (ln "&amp;B68&amp;" + ln "&amp;B69&amp;" - ln "&amp;B82&amp;" - ln "&amp;B83&amp;")"</f>
        <v xml:space="preserve"> (ln 21 + ln 22 - ln 32 - ln 33)</v>
      </c>
      <c r="F95" s="250"/>
      <c r="G95" s="263">
        <f>+G68+G69-G82-G83</f>
        <v>2792052608.7338471</v>
      </c>
      <c r="H95" s="263"/>
      <c r="I95" s="264"/>
      <c r="J95" s="304"/>
      <c r="K95" s="250"/>
      <c r="L95" s="263">
        <f>+L68+L69-L82-L83</f>
        <v>2792257478.5753703</v>
      </c>
      <c r="M95" s="250"/>
      <c r="N95" s="250"/>
      <c r="O95" s="250"/>
    </row>
    <row r="96" spans="2:15">
      <c r="B96" s="251">
        <f>+B95+1</f>
        <v>43</v>
      </c>
      <c r="C96" s="305"/>
      <c r="D96" s="247" t="str">
        <f>+D84</f>
        <v xml:space="preserve">  Distribution</v>
      </c>
      <c r="E96" s="250" t="str">
        <f>" (ln "&amp;B70&amp;" + ln "&amp;B71&amp;" - ln "&amp;B84&amp;" - ln "&amp;B85&amp;")"</f>
        <v xml:space="preserve"> (ln 23 + ln 24 - ln 34 - ln 35)</v>
      </c>
      <c r="F96" s="250"/>
      <c r="G96" s="263">
        <f>+G70+G71-G84-G85</f>
        <v>5356015900.1461525</v>
      </c>
      <c r="H96" s="263"/>
      <c r="I96" s="264"/>
      <c r="J96" s="306"/>
      <c r="K96" s="250"/>
      <c r="L96" s="263">
        <f>+L70+L71-L84-L85</f>
        <v>0</v>
      </c>
      <c r="M96" s="250"/>
      <c r="O96" s="250"/>
    </row>
    <row r="97" spans="2:15">
      <c r="B97" s="251">
        <f t="shared" si="4"/>
        <v>44</v>
      </c>
      <c r="C97" s="305"/>
      <c r="D97" s="247" t="str">
        <f>+D86</f>
        <v xml:space="preserve">  General Plant   </v>
      </c>
      <c r="E97" s="250" t="str">
        <f>" (ln "&amp;B72&amp;" + ln "&amp;B73&amp;" - ln "&amp;B86&amp;" - ln "&amp;B87&amp;")"</f>
        <v xml:space="preserve"> (ln 25 + ln 26 - ln 36 - ln 37)</v>
      </c>
      <c r="F97" s="250"/>
      <c r="G97" s="263">
        <f>+G72+G73-G86-G87</f>
        <v>849071134.08307683</v>
      </c>
      <c r="H97" s="263"/>
      <c r="I97" s="264"/>
      <c r="J97" s="306"/>
      <c r="K97" s="250"/>
      <c r="L97" s="263">
        <f>+L72+L73-L86-L87</f>
        <v>128212155.0175422</v>
      </c>
      <c r="M97" s="250"/>
      <c r="N97" s="250"/>
      <c r="O97" s="250"/>
    </row>
    <row r="98" spans="2:15">
      <c r="B98" s="251">
        <f t="shared" si="4"/>
        <v>45</v>
      </c>
      <c r="C98" s="305"/>
      <c r="D98" s="247" t="str">
        <f>+D88</f>
        <v xml:space="preserve">  Intangible Plant</v>
      </c>
      <c r="E98" s="250" t="str">
        <f>" (ln "&amp;B74&amp;" - ln "&amp;B88&amp;")"</f>
        <v xml:space="preserve"> (ln 27 - ln 38)</v>
      </c>
      <c r="F98" s="250"/>
      <c r="G98" s="263">
        <f>+G74-G88</f>
        <v>4305920.1923076976</v>
      </c>
      <c r="H98" s="263"/>
      <c r="I98" s="264"/>
      <c r="J98" s="306"/>
      <c r="K98" s="250"/>
      <c r="L98" s="263">
        <f>+L74-L88</f>
        <v>650206.19006852573</v>
      </c>
      <c r="M98" s="250"/>
      <c r="N98" s="250"/>
      <c r="O98" s="250"/>
    </row>
    <row r="99" spans="2:15" ht="15.75" thickBot="1">
      <c r="B99" s="251" t="s">
        <v>1355</v>
      </c>
      <c r="C99" s="305"/>
      <c r="D99" s="247" t="s">
        <v>1326</v>
      </c>
      <c r="E99" s="250" t="str">
        <f>" (ln "&amp;B75&amp;" + ln "&amp;B76&amp;" - ln "&amp;B89&amp;" - ln "&amp;B90&amp;")"</f>
        <v xml:space="preserve"> (ln 27a + ln 27b - ln 38a - ln 38b)</v>
      </c>
      <c r="F99" s="250"/>
      <c r="G99" s="298">
        <f>+G75+G76-G89-G90</f>
        <v>1413189.1807692309</v>
      </c>
      <c r="H99" s="263"/>
      <c r="I99" s="264"/>
      <c r="J99" s="306"/>
      <c r="K99" s="250"/>
      <c r="L99" s="298">
        <f>L75+L76-L89-L90</f>
        <v>0</v>
      </c>
      <c r="M99" s="250"/>
      <c r="N99" s="250"/>
      <c r="O99" s="250"/>
    </row>
    <row r="100" spans="2:15" ht="15.75">
      <c r="B100" s="251">
        <f>+B98+1</f>
        <v>46</v>
      </c>
      <c r="C100" s="305"/>
      <c r="D100" s="247" t="s">
        <v>45</v>
      </c>
      <c r="E100" s="247" t="str">
        <f>"(sum lns "&amp;B94&amp;" to "&amp;B98&amp;")"</f>
        <v>(sum lns 41 to 45)</v>
      </c>
      <c r="F100" s="250"/>
      <c r="G100" s="263">
        <f>SUM(G94:G99)</f>
        <v>9002858752.336153</v>
      </c>
      <c r="H100" s="263"/>
      <c r="I100" s="286" t="s">
        <v>750</v>
      </c>
      <c r="J100" s="299">
        <f>+L100/G100</f>
        <v>0.32446580804402597</v>
      </c>
      <c r="K100" s="250"/>
      <c r="L100" s="263">
        <f>SUM(L94:L99)</f>
        <v>2921119839.7829814</v>
      </c>
      <c r="M100" s="250"/>
      <c r="N100" s="250"/>
      <c r="O100" s="250"/>
    </row>
    <row r="101" spans="2:15">
      <c r="B101" s="251"/>
      <c r="C101" s="252"/>
      <c r="D101" s="247"/>
      <c r="E101" s="250"/>
      <c r="F101" s="250"/>
      <c r="G101" s="263"/>
      <c r="H101" s="263"/>
      <c r="I101" s="316"/>
      <c r="J101" s="309"/>
      <c r="K101" s="250"/>
      <c r="L101" s="263"/>
      <c r="M101" s="250"/>
      <c r="N101" s="250"/>
      <c r="O101" s="250"/>
    </row>
    <row r="102" spans="2:15">
      <c r="B102" s="251"/>
      <c r="C102" s="252"/>
      <c r="G102" s="4"/>
      <c r="H102" s="4"/>
      <c r="I102" s="79"/>
      <c r="J102" s="4"/>
      <c r="K102" s="4"/>
      <c r="L102" s="4"/>
      <c r="M102"/>
      <c r="N102" s="250"/>
      <c r="O102" s="250"/>
    </row>
    <row r="103" spans="2:15">
      <c r="B103" s="251">
        <f>+B100+1</f>
        <v>47</v>
      </c>
      <c r="C103" s="252"/>
      <c r="D103" s="247" t="s">
        <v>326</v>
      </c>
      <c r="E103" s="250" t="s">
        <v>303</v>
      </c>
      <c r="F103" s="264"/>
      <c r="G103" s="4"/>
      <c r="H103" s="4"/>
      <c r="I103" s="79"/>
      <c r="J103" s="4"/>
      <c r="K103" s="4"/>
      <c r="L103" s="4"/>
      <c r="M103"/>
      <c r="N103" s="250"/>
      <c r="O103" s="250"/>
    </row>
    <row r="104" spans="2:15">
      <c r="B104" s="251">
        <f t="shared" ref="B104:B109" si="5">+B103+1</f>
        <v>48</v>
      </c>
      <c r="C104" s="305"/>
      <c r="D104" s="247" t="s">
        <v>193</v>
      </c>
      <c r="E104" s="250" t="s">
        <v>536</v>
      </c>
      <c r="F104" s="250"/>
      <c r="G104" s="263">
        <f>-'WS B ADIT &amp; ITC'!I17</f>
        <v>0</v>
      </c>
      <c r="H104" s="263"/>
      <c r="I104" s="264" t="s">
        <v>127</v>
      </c>
      <c r="J104" s="265"/>
      <c r="K104" s="250"/>
      <c r="L104" s="263">
        <f>'WS B ADIT &amp; ITC'!I20</f>
        <v>0</v>
      </c>
      <c r="M104" s="250"/>
      <c r="N104" s="250"/>
      <c r="O104" s="250"/>
    </row>
    <row r="105" spans="2:15">
      <c r="B105" s="251">
        <f t="shared" si="5"/>
        <v>49</v>
      </c>
      <c r="C105" s="305"/>
      <c r="D105" s="247" t="s">
        <v>194</v>
      </c>
      <c r="E105" s="250" t="s">
        <v>537</v>
      </c>
      <c r="F105" s="250"/>
      <c r="G105" s="263">
        <f>-'WS B ADIT &amp; ITC'!I25</f>
        <v>-1522351802.355</v>
      </c>
      <c r="H105" s="263"/>
      <c r="I105" s="264" t="s">
        <v>129</v>
      </c>
      <c r="J105" s="265"/>
      <c r="K105" s="250"/>
      <c r="L105" s="263">
        <f>-'WS B ADIT &amp; ITC'!I28</f>
        <v>-487247517.06500006</v>
      </c>
      <c r="M105" s="250"/>
      <c r="N105" s="250"/>
      <c r="O105" s="250"/>
    </row>
    <row r="106" spans="2:15">
      <c r="B106" s="251">
        <f t="shared" si="5"/>
        <v>50</v>
      </c>
      <c r="C106" s="305"/>
      <c r="D106" s="247" t="s">
        <v>195</v>
      </c>
      <c r="E106" s="250" t="s">
        <v>538</v>
      </c>
      <c r="F106" s="250"/>
      <c r="G106" s="263">
        <f>-'WS B ADIT &amp; ITC'!I33</f>
        <v>-156047384.38</v>
      </c>
      <c r="H106" s="263"/>
      <c r="I106" s="264" t="s">
        <v>129</v>
      </c>
      <c r="J106" s="265"/>
      <c r="K106" s="250"/>
      <c r="L106" s="263">
        <f>-'WS B ADIT &amp; ITC'!I36</f>
        <v>-31589101.750000015</v>
      </c>
      <c r="M106" s="250"/>
      <c r="N106" s="250"/>
      <c r="O106" s="250"/>
    </row>
    <row r="107" spans="2:15">
      <c r="B107" s="251">
        <f t="shared" si="5"/>
        <v>51</v>
      </c>
      <c r="C107" s="305"/>
      <c r="D107" s="247" t="s">
        <v>196</v>
      </c>
      <c r="E107" s="250" t="s">
        <v>539</v>
      </c>
      <c r="F107" s="250"/>
      <c r="G107" s="263">
        <f>'WS B ADIT &amp; ITC'!I41</f>
        <v>86056533.105000004</v>
      </c>
      <c r="H107" s="263"/>
      <c r="I107" s="264" t="s">
        <v>129</v>
      </c>
      <c r="J107" s="265"/>
      <c r="K107" s="250"/>
      <c r="L107" s="263">
        <f>'WS B ADIT &amp; ITC'!I44</f>
        <v>11376555.850000009</v>
      </c>
      <c r="M107" s="250"/>
      <c r="N107" s="250"/>
      <c r="O107" s="250"/>
    </row>
    <row r="108" spans="2:15" ht="15.75" thickBot="1">
      <c r="B108" s="251">
        <f t="shared" si="5"/>
        <v>52</v>
      </c>
      <c r="C108" s="305"/>
      <c r="D108" s="243" t="s">
        <v>134</v>
      </c>
      <c r="E108" s="250" t="s">
        <v>540</v>
      </c>
      <c r="G108" s="298">
        <f>-'WS B ADIT &amp; ITC'!I51</f>
        <v>0</v>
      </c>
      <c r="H108" s="263"/>
      <c r="I108" s="264" t="s">
        <v>129</v>
      </c>
      <c r="J108" s="265"/>
      <c r="K108" s="250"/>
      <c r="L108" s="298">
        <f>-'WS B ADIT &amp; ITC'!I52</f>
        <v>0</v>
      </c>
      <c r="M108" s="310"/>
      <c r="N108" s="250"/>
      <c r="O108" s="250"/>
    </row>
    <row r="109" spans="2:15">
      <c r="B109" s="251">
        <f t="shared" si="5"/>
        <v>53</v>
      </c>
      <c r="C109" s="305"/>
      <c r="D109" s="247" t="s">
        <v>92</v>
      </c>
      <c r="E109" s="247" t="str">
        <f>"(sum lns "&amp;B104&amp;" to "&amp;B108&amp;")"</f>
        <v>(sum lns 48 to 52)</v>
      </c>
      <c r="F109" s="250"/>
      <c r="G109" s="263">
        <f>SUM(G104:G108)</f>
        <v>-1592342653.6300001</v>
      </c>
      <c r="H109" s="4"/>
      <c r="I109" s="264"/>
      <c r="J109" s="311"/>
      <c r="K109" s="250"/>
      <c r="L109" s="263">
        <f>SUM(L104:L108)</f>
        <v>-507460062.96500003</v>
      </c>
      <c r="M109" s="250"/>
      <c r="N109" s="312"/>
    </row>
    <row r="110" spans="2:15">
      <c r="B110" s="251"/>
      <c r="C110" s="252"/>
      <c r="D110" s="247"/>
      <c r="E110" s="250"/>
      <c r="F110" s="250"/>
      <c r="G110" s="263"/>
      <c r="H110" s="4"/>
      <c r="I110" s="264"/>
      <c r="J110" s="306"/>
      <c r="K110" s="250"/>
      <c r="L110" s="263"/>
      <c r="M110" s="250"/>
    </row>
    <row r="111" spans="2:15">
      <c r="B111" s="251">
        <f>+B109+1</f>
        <v>54</v>
      </c>
      <c r="C111" s="252"/>
      <c r="D111" s="247" t="s">
        <v>205</v>
      </c>
      <c r="E111" s="250" t="str">
        <f>"(Worksheet A ln "&amp;'WS A - RB Support'!A69&amp;"."&amp;'WS A - RB Support'!F68&amp;" &amp; "&amp;"ln "&amp;'WS A - RB Support'!A71&amp;"."&amp;'WS A - RB Support'!F68&amp;")"</f>
        <v>(Worksheet A ln 44.(e) &amp; ln 45.(e))</v>
      </c>
      <c r="F111" s="250"/>
      <c r="G111" s="263">
        <f>'WS A - RB Support'!F69</f>
        <v>4779074.21</v>
      </c>
      <c r="H111" s="4"/>
      <c r="I111" s="264" t="s">
        <v>129</v>
      </c>
      <c r="J111" s="265"/>
      <c r="K111" s="250"/>
      <c r="L111" s="263">
        <f>'WS A - RB Support'!F71</f>
        <v>2313229</v>
      </c>
      <c r="M111" s="250"/>
    </row>
    <row r="112" spans="2:15">
      <c r="B112" s="251"/>
      <c r="C112" s="252"/>
      <c r="D112" s="247"/>
      <c r="E112" s="250"/>
      <c r="F112" s="250"/>
      <c r="G112" s="263"/>
      <c r="H112" s="4"/>
      <c r="I112" s="264"/>
      <c r="J112" s="265"/>
      <c r="K112" s="250"/>
      <c r="L112" s="263"/>
      <c r="M112" s="250"/>
    </row>
    <row r="113" spans="2:13">
      <c r="B113" s="251">
        <f>+B111+1</f>
        <v>55</v>
      </c>
      <c r="C113" s="252"/>
      <c r="D113" s="247" t="s">
        <v>327</v>
      </c>
      <c r="E113" s="250" t="str">
        <f>"(Worksheet A ln "&amp;'WS A - RB Support'!A80&amp;"."&amp;'WS A - RB Support'!F68&amp;")"</f>
        <v>(Worksheet A ln 51.(e))</v>
      </c>
      <c r="F113" s="250"/>
      <c r="G113" s="263">
        <f>'WS A - RB Support'!F80</f>
        <v>0</v>
      </c>
      <c r="H113" s="4"/>
      <c r="I113" s="264" t="s">
        <v>129</v>
      </c>
      <c r="J113" s="250"/>
      <c r="K113" s="250"/>
      <c r="L113" s="263">
        <f>+G113</f>
        <v>0</v>
      </c>
      <c r="M113" s="250"/>
    </row>
    <row r="114" spans="2:13">
      <c r="B114" s="251"/>
      <c r="C114" s="252"/>
      <c r="D114" s="247"/>
      <c r="E114" s="250"/>
      <c r="F114" s="250"/>
      <c r="G114" s="263"/>
      <c r="H114" s="4"/>
      <c r="I114" s="264"/>
      <c r="J114" s="250"/>
      <c r="K114" s="250"/>
      <c r="L114" s="263"/>
      <c r="M114" s="250"/>
    </row>
    <row r="115" spans="2:13" ht="14.25" customHeight="1">
      <c r="B115" s="251">
        <f>+B113+1</f>
        <v>56</v>
      </c>
      <c r="C115" s="305"/>
      <c r="D115" s="259" t="s">
        <v>738</v>
      </c>
      <c r="E115" s="250" t="str">
        <f>"(Worksheet A ln "&amp;'WS A - RB Support'!A88&amp;"."&amp;'WS A - RB Support'!F68&amp;")"</f>
        <v>(Worksheet A ln 54.(e))</v>
      </c>
      <c r="F115" s="250"/>
      <c r="G115" s="263">
        <f>-'WS A - RB Support'!F88</f>
        <v>-361337.14399999997</v>
      </c>
      <c r="H115" s="263"/>
      <c r="I115" s="264" t="s">
        <v>132</v>
      </c>
      <c r="J115" s="265">
        <f>L257</f>
        <v>0.15100284283719081</v>
      </c>
      <c r="K115" s="250"/>
      <c r="L115" s="263">
        <f>G115*J115</f>
        <v>-54562.935966671379</v>
      </c>
      <c r="M115" s="250"/>
    </row>
    <row r="116" spans="2:13">
      <c r="B116" s="251"/>
      <c r="C116" s="252"/>
      <c r="D116" s="247"/>
      <c r="E116" s="250"/>
      <c r="F116" s="250"/>
      <c r="G116" s="263"/>
      <c r="H116" s="4"/>
      <c r="I116" s="264"/>
      <c r="J116" s="250"/>
      <c r="K116" s="250"/>
      <c r="L116" s="263"/>
      <c r="M116" s="250"/>
    </row>
    <row r="117" spans="2:13">
      <c r="B117" s="251">
        <f>+B115+1</f>
        <v>57</v>
      </c>
      <c r="C117" s="252"/>
      <c r="D117" s="247" t="s">
        <v>93</v>
      </c>
      <c r="E117" s="250" t="s">
        <v>498</v>
      </c>
      <c r="F117" s="250"/>
      <c r="G117" s="263"/>
      <c r="H117" s="4"/>
      <c r="I117" s="264"/>
      <c r="J117" s="250"/>
      <c r="K117" s="250"/>
      <c r="L117" s="263"/>
      <c r="M117" s="250"/>
    </row>
    <row r="118" spans="2:13">
      <c r="B118" s="251">
        <f t="shared" ref="B118:B126" si="6">+B117+1</f>
        <v>58</v>
      </c>
      <c r="C118" s="305"/>
      <c r="D118" s="247" t="s">
        <v>204</v>
      </c>
      <c r="E118" s="243" t="str">
        <f>"(1/8 * ln "&amp;B155&amp;")"</f>
        <v>(1/8 * ln 78)</v>
      </c>
      <c r="G118" s="263">
        <f>+G155/8</f>
        <v>8151011.1637500059</v>
      </c>
      <c r="H118" s="250"/>
      <c r="I118" s="264"/>
      <c r="J118" s="306"/>
      <c r="K118" s="250"/>
      <c r="L118" s="263">
        <f>+L155/8</f>
        <v>8151011.1637500059</v>
      </c>
      <c r="M118" s="247"/>
    </row>
    <row r="119" spans="2:13">
      <c r="B119" s="251">
        <f t="shared" si="6"/>
        <v>59</v>
      </c>
      <c r="C119" s="305"/>
      <c r="D119" s="247" t="s">
        <v>335</v>
      </c>
      <c r="E119" s="250" t="s">
        <v>541</v>
      </c>
      <c r="F119" s="250"/>
      <c r="G119" s="263">
        <f>'WS C  - Working Capital'!I17</f>
        <v>6891359</v>
      </c>
      <c r="H119" s="4"/>
      <c r="I119" s="264" t="s">
        <v>120</v>
      </c>
      <c r="J119" s="265">
        <f>L239</f>
        <v>1</v>
      </c>
      <c r="K119" s="250"/>
      <c r="L119" s="263">
        <f>+J119*G119</f>
        <v>6891359</v>
      </c>
      <c r="M119" s="250"/>
    </row>
    <row r="120" spans="2:13">
      <c r="B120" s="251" t="s">
        <v>1356</v>
      </c>
      <c r="C120" s="305"/>
      <c r="D120" s="247" t="s">
        <v>1357</v>
      </c>
      <c r="E120" s="250" t="s">
        <v>1358</v>
      </c>
      <c r="F120" s="250"/>
      <c r="G120" s="263">
        <f>'WS C  - Working Capital'!I19</f>
        <v>0</v>
      </c>
      <c r="H120" s="197"/>
      <c r="I120" s="264" t="s">
        <v>1328</v>
      </c>
      <c r="J120" s="265">
        <f>L246</f>
        <v>0</v>
      </c>
      <c r="K120" s="250"/>
      <c r="L120" s="263">
        <f>+J120*G120</f>
        <v>0</v>
      </c>
      <c r="M120" s="250"/>
    </row>
    <row r="121" spans="2:13">
      <c r="B121" s="251">
        <f>+B119+1</f>
        <v>60</v>
      </c>
      <c r="C121" s="305"/>
      <c r="D121" s="247" t="s">
        <v>336</v>
      </c>
      <c r="E121" s="250" t="s">
        <v>542</v>
      </c>
      <c r="F121" s="250"/>
      <c r="G121" s="263">
        <f>'WS C  - Working Capital'!I21</f>
        <v>1637362.5</v>
      </c>
      <c r="H121" s="4"/>
      <c r="I121" s="264" t="s">
        <v>132</v>
      </c>
      <c r="J121" s="265">
        <f>L257</f>
        <v>0.15100284283719081</v>
      </c>
      <c r="K121" s="250"/>
      <c r="L121" s="263">
        <f>+J121*G121</f>
        <v>247246.39225500985</v>
      </c>
      <c r="M121" s="250"/>
    </row>
    <row r="122" spans="2:13">
      <c r="B122" s="251">
        <f t="shared" si="6"/>
        <v>61</v>
      </c>
      <c r="C122" s="305"/>
      <c r="D122" s="247" t="s">
        <v>529</v>
      </c>
      <c r="E122" s="250" t="s">
        <v>543</v>
      </c>
      <c r="F122" s="250"/>
      <c r="G122" s="263">
        <f>'WS C  - Working Capital'!I23</f>
        <v>0</v>
      </c>
      <c r="H122" s="4"/>
      <c r="I122" s="264" t="s">
        <v>749</v>
      </c>
      <c r="J122" s="265">
        <f>J77</f>
        <v>0.31803881495927533</v>
      </c>
      <c r="K122" s="250"/>
      <c r="L122" s="263">
        <f>+J122*G122</f>
        <v>0</v>
      </c>
      <c r="M122" s="250"/>
    </row>
    <row r="123" spans="2:13">
      <c r="B123" s="251">
        <f t="shared" si="6"/>
        <v>62</v>
      </c>
      <c r="C123" s="305"/>
      <c r="D123" s="247" t="s">
        <v>208</v>
      </c>
      <c r="E123" s="250" t="s">
        <v>572</v>
      </c>
      <c r="F123" s="250"/>
      <c r="G123" s="263">
        <f>'WS C  - Working Capital'!J33</f>
        <v>289773300.35500002</v>
      </c>
      <c r="H123" s="4"/>
      <c r="I123" s="264" t="s">
        <v>132</v>
      </c>
      <c r="J123" s="265">
        <f>L257</f>
        <v>0.15100284283719081</v>
      </c>
      <c r="K123" s="250"/>
      <c r="L123" s="263">
        <f>+J123*G123</f>
        <v>43756592.131920159</v>
      </c>
      <c r="M123" s="250"/>
    </row>
    <row r="124" spans="2:13">
      <c r="B124" s="251">
        <f t="shared" si="6"/>
        <v>63</v>
      </c>
      <c r="C124" s="305"/>
      <c r="D124" s="247" t="s">
        <v>209</v>
      </c>
      <c r="E124" s="250" t="s">
        <v>571</v>
      </c>
      <c r="F124" s="250"/>
      <c r="G124" s="263">
        <f>'WS C  - Working Capital'!I33</f>
        <v>5921516.6825000001</v>
      </c>
      <c r="H124" s="4"/>
      <c r="I124" s="264" t="s">
        <v>749</v>
      </c>
      <c r="J124" s="265">
        <f>J77</f>
        <v>0.31803881495927533</v>
      </c>
      <c r="K124" s="250"/>
      <c r="L124" s="263">
        <f>+G124*J124</f>
        <v>1883272.1484638795</v>
      </c>
      <c r="M124" s="250"/>
    </row>
    <row r="125" spans="2:13">
      <c r="B125" s="251">
        <f t="shared" si="6"/>
        <v>64</v>
      </c>
      <c r="C125" s="305"/>
      <c r="D125" s="247" t="s">
        <v>305</v>
      </c>
      <c r="E125" s="250" t="s">
        <v>573</v>
      </c>
      <c r="F125" s="250"/>
      <c r="G125" s="263">
        <f>'WS C  - Working Capital'!G33</f>
        <v>0</v>
      </c>
      <c r="H125" s="4"/>
      <c r="I125" s="264" t="s">
        <v>129</v>
      </c>
      <c r="J125" s="265">
        <v>1</v>
      </c>
      <c r="K125" s="250"/>
      <c r="L125" s="263">
        <f>+G125*J125</f>
        <v>0</v>
      </c>
      <c r="M125" s="250"/>
    </row>
    <row r="126" spans="2:13" ht="15.75" thickBot="1">
      <c r="B126" s="251">
        <f t="shared" si="6"/>
        <v>65</v>
      </c>
      <c r="C126" s="305"/>
      <c r="D126" s="247" t="s">
        <v>105</v>
      </c>
      <c r="E126" s="250" t="s">
        <v>574</v>
      </c>
      <c r="F126" s="250"/>
      <c r="G126" s="298">
        <f>'WS C  - Working Capital'!E33</f>
        <v>-285306695.86000001</v>
      </c>
      <c r="H126" s="263"/>
      <c r="I126" s="264" t="s">
        <v>127</v>
      </c>
      <c r="J126" s="265">
        <v>0</v>
      </c>
      <c r="K126" s="250"/>
      <c r="L126" s="298">
        <f>+G126*J126</f>
        <v>0</v>
      </c>
      <c r="M126" s="250"/>
    </row>
    <row r="127" spans="2:13">
      <c r="B127" s="251">
        <f>+B126+1</f>
        <v>66</v>
      </c>
      <c r="C127" s="305"/>
      <c r="D127" s="247" t="s">
        <v>44</v>
      </c>
      <c r="E127" s="247" t="str">
        <f>"(sum lns "&amp;B118&amp;" to "&amp;B126&amp;")"</f>
        <v>(sum lns 58 to 65)</v>
      </c>
      <c r="F127" s="247"/>
      <c r="G127" s="263">
        <f>SUM(G118:G126)</f>
        <v>27067853.841250002</v>
      </c>
      <c r="H127" s="247"/>
      <c r="I127" s="252"/>
      <c r="J127" s="247"/>
      <c r="K127" s="247"/>
      <c r="L127" s="263">
        <f>SUM(L118:L126)</f>
        <v>60929480.836389057</v>
      </c>
      <c r="M127" s="247"/>
    </row>
    <row r="128" spans="2:13">
      <c r="B128" s="251"/>
      <c r="C128" s="252"/>
      <c r="D128" s="247"/>
      <c r="E128" s="247"/>
      <c r="F128" s="247"/>
      <c r="G128" s="263"/>
      <c r="H128" s="247"/>
      <c r="I128" s="252"/>
      <c r="J128" s="247"/>
      <c r="K128" s="247"/>
      <c r="L128" s="263"/>
      <c r="M128" s="247"/>
    </row>
    <row r="129" spans="2:15">
      <c r="B129" s="251">
        <f>+B127+1</f>
        <v>67</v>
      </c>
      <c r="C129" s="252"/>
      <c r="D129" s="247" t="s">
        <v>31</v>
      </c>
      <c r="E129" s="247" t="s">
        <v>544</v>
      </c>
      <c r="F129" s="247"/>
      <c r="G129" s="263">
        <f>+'WS D IPP Credits'!C23</f>
        <v>0</v>
      </c>
      <c r="H129" s="247"/>
      <c r="I129" s="313" t="s">
        <v>129</v>
      </c>
      <c r="J129" s="265">
        <v>1</v>
      </c>
      <c r="K129" s="250"/>
      <c r="L129" s="263">
        <f>+J129*G129</f>
        <v>0</v>
      </c>
      <c r="M129" s="247"/>
    </row>
    <row r="130" spans="2:15" ht="15.75" thickBot="1">
      <c r="B130" s="251"/>
      <c r="E130" s="250"/>
      <c r="F130" s="250"/>
      <c r="G130" s="298"/>
      <c r="H130" s="250"/>
      <c r="I130" s="264"/>
      <c r="J130" s="250"/>
      <c r="K130" s="250"/>
      <c r="L130" s="298"/>
      <c r="M130" s="250"/>
    </row>
    <row r="131" spans="2:15" ht="15.75" thickBot="1">
      <c r="B131" s="251">
        <f>+B129+1</f>
        <v>68</v>
      </c>
      <c r="C131" s="252"/>
      <c r="D131" s="247" t="str">
        <f>"RATE BASE  (sum lns "&amp;B100&amp;", "&amp;B109&amp;", "&amp;B111&amp;", "&amp;B113&amp;", "&amp;B115&amp;", "&amp;B127&amp;", "&amp;B129&amp;")"</f>
        <v>RATE BASE  (sum lns 46, 53, 54, 55, 56, 66, 67)</v>
      </c>
      <c r="E131" s="250"/>
      <c r="F131" s="250"/>
      <c r="G131" s="816">
        <f>+G127+G111+G109+G100+G129+G113+G115</f>
        <v>7442001689.6134024</v>
      </c>
      <c r="H131" s="250"/>
      <c r="I131" s="250"/>
      <c r="J131" s="306"/>
      <c r="K131" s="250"/>
      <c r="L131" s="816">
        <f>+L127+L109+L100+L129+L113+L115+L111</f>
        <v>2476847923.7184038</v>
      </c>
      <c r="M131" s="250"/>
    </row>
    <row r="132" spans="2:15" ht="16.5" thickTop="1">
      <c r="B132" s="251"/>
      <c r="C132" s="69"/>
      <c r="D132" s="69"/>
      <c r="E132" s="69"/>
      <c r="F132" s="69"/>
      <c r="G132" s="69"/>
      <c r="H132" s="69"/>
      <c r="I132" s="246"/>
      <c r="J132" s="246"/>
      <c r="K132" s="246"/>
      <c r="L132" s="789"/>
    </row>
    <row r="133" spans="2:15">
      <c r="B133" s="314"/>
      <c r="C133" s="252"/>
      <c r="D133" s="247"/>
      <c r="E133" s="250"/>
      <c r="F133" s="250"/>
      <c r="G133" s="250"/>
      <c r="H133" s="250"/>
      <c r="I133" s="250"/>
      <c r="J133" s="250"/>
      <c r="K133" s="250"/>
      <c r="L133" s="250"/>
      <c r="M133" s="250"/>
    </row>
    <row r="134" spans="2:15">
      <c r="B134" s="314"/>
      <c r="C134" s="252"/>
      <c r="D134" s="247"/>
      <c r="E134" s="250"/>
      <c r="F134" s="264" t="str">
        <f>F54</f>
        <v xml:space="preserve">AEP East Companies </v>
      </c>
      <c r="G134" s="264"/>
      <c r="H134" s="250"/>
      <c r="I134" s="250"/>
      <c r="J134" s="250"/>
      <c r="K134" s="250"/>
      <c r="L134" s="250"/>
      <c r="M134" s="315"/>
    </row>
    <row r="135" spans="2:15">
      <c r="B135" s="314"/>
      <c r="C135" s="252"/>
      <c r="D135" s="247"/>
      <c r="E135" s="250"/>
      <c r="F135" s="264" t="str">
        <f>F55</f>
        <v>Transmission Cost of Service Formula Rate</v>
      </c>
      <c r="G135" s="264"/>
      <c r="H135" s="250"/>
      <c r="I135" s="250"/>
      <c r="J135" s="250"/>
      <c r="K135" s="250"/>
      <c r="L135" s="250"/>
      <c r="M135" s="315"/>
    </row>
    <row r="136" spans="2:15">
      <c r="B136" s="314"/>
      <c r="C136" s="252"/>
      <c r="E136" s="250"/>
      <c r="F136" s="264" t="str">
        <f>F56</f>
        <v>Utilizing  Actual/Projected FERC Form 1 Data</v>
      </c>
      <c r="G136" s="250"/>
      <c r="H136" s="250"/>
      <c r="I136" s="250"/>
      <c r="J136" s="250"/>
      <c r="K136" s="250"/>
      <c r="L136" s="250"/>
      <c r="M136" s="282"/>
    </row>
    <row r="137" spans="2:15">
      <c r="B137" s="314"/>
      <c r="C137" s="252"/>
      <c r="E137" s="250"/>
      <c r="F137" s="264"/>
      <c r="G137" s="250"/>
      <c r="H137" s="250"/>
      <c r="I137" s="250"/>
      <c r="J137" s="250"/>
      <c r="K137" s="250"/>
      <c r="L137" s="250"/>
      <c r="M137" s="250"/>
    </row>
    <row r="138" spans="2:15">
      <c r="B138" s="314"/>
      <c r="C138" s="252"/>
      <c r="E138" s="316"/>
      <c r="F138" s="264" t="str">
        <f>F58</f>
        <v>Ohio Power Company</v>
      </c>
      <c r="G138" s="316"/>
      <c r="H138" s="316"/>
      <c r="I138" s="316"/>
      <c r="J138" s="316"/>
      <c r="K138" s="316"/>
      <c r="M138" s="250"/>
    </row>
    <row r="139" spans="2:15">
      <c r="B139" s="314"/>
      <c r="C139" s="252"/>
      <c r="E139" s="316"/>
      <c r="F139" s="264"/>
      <c r="G139" s="316"/>
      <c r="H139" s="316"/>
      <c r="I139" s="316"/>
      <c r="J139" s="316"/>
      <c r="K139" s="316"/>
      <c r="M139" s="250"/>
    </row>
    <row r="140" spans="2:15">
      <c r="B140" s="314"/>
      <c r="D140" s="252" t="s">
        <v>121</v>
      </c>
      <c r="E140" s="252" t="s">
        <v>122</v>
      </c>
      <c r="F140" s="252"/>
      <c r="G140" s="252" t="s">
        <v>123</v>
      </c>
      <c r="H140" s="250"/>
      <c r="I140" s="1217" t="s">
        <v>124</v>
      </c>
      <c r="J140" s="1221"/>
      <c r="K140" s="250"/>
      <c r="L140" s="253" t="s">
        <v>125</v>
      </c>
      <c r="M140" s="250"/>
      <c r="N140" s="253"/>
    </row>
    <row r="141" spans="2:15" ht="15.75">
      <c r="B141" s="314"/>
      <c r="D141" s="252"/>
      <c r="E141" s="252"/>
      <c r="F141" s="252"/>
      <c r="G141" s="252"/>
      <c r="H141" s="250"/>
      <c r="I141" s="250"/>
      <c r="J141" s="284"/>
      <c r="K141" s="250"/>
      <c r="M141" s="250"/>
      <c r="N141" s="317"/>
      <c r="O141" s="246"/>
    </row>
    <row r="142" spans="2:15" ht="15.75">
      <c r="B142" s="314"/>
      <c r="C142" s="252"/>
      <c r="D142" s="317" t="s">
        <v>101</v>
      </c>
      <c r="E142" s="286" t="str">
        <f>E62</f>
        <v>Data Sources</v>
      </c>
      <c r="F142" s="287"/>
      <c r="G142" s="250"/>
      <c r="H142" s="250"/>
      <c r="I142" s="250"/>
      <c r="J142" s="252"/>
      <c r="K142" s="250"/>
      <c r="L142" s="286" t="str">
        <f>L62</f>
        <v>Total</v>
      </c>
      <c r="N142" s="317"/>
      <c r="O142" s="246"/>
    </row>
    <row r="143" spans="2:15" ht="15.75">
      <c r="B143" s="314"/>
      <c r="C143" s="252"/>
      <c r="D143" s="289" t="s">
        <v>102</v>
      </c>
      <c r="E143" s="318" t="str">
        <f>E63</f>
        <v>(See "General Notes")</v>
      </c>
      <c r="F143" s="250"/>
      <c r="G143" s="318" t="str">
        <f>G63</f>
        <v>TO Total</v>
      </c>
      <c r="H143" s="291"/>
      <c r="I143" s="1219" t="str">
        <f>I63</f>
        <v>Allocator</v>
      </c>
      <c r="J143" s="1220"/>
      <c r="K143" s="291"/>
      <c r="L143" s="318" t="str">
        <f>L63</f>
        <v>Transmission</v>
      </c>
      <c r="M143" s="250"/>
      <c r="N143" s="317"/>
      <c r="O143" s="246"/>
    </row>
    <row r="144" spans="2:15" ht="15.75">
      <c r="B144" s="251" t="str">
        <f>B64</f>
        <v>Line</v>
      </c>
      <c r="D144" s="247"/>
      <c r="E144" s="250"/>
      <c r="F144" s="250"/>
      <c r="G144" s="289"/>
      <c r="H144" s="319"/>
      <c r="I144" s="317"/>
      <c r="K144" s="319"/>
      <c r="L144" s="289"/>
      <c r="M144" s="250"/>
    </row>
    <row r="145" spans="2:15">
      <c r="B145" s="251" t="str">
        <f>B65</f>
        <v>No.</v>
      </c>
      <c r="C145" s="252"/>
      <c r="D145" s="247" t="s">
        <v>103</v>
      </c>
      <c r="E145" s="250"/>
      <c r="F145" s="250"/>
      <c r="G145" s="250"/>
      <c r="H145" s="250"/>
      <c r="I145" s="264"/>
      <c r="J145" s="250"/>
      <c r="K145" s="250"/>
      <c r="L145" s="250"/>
      <c r="M145" s="250"/>
    </row>
    <row r="146" spans="2:15">
      <c r="B146" s="251">
        <f>+B131+1</f>
        <v>69</v>
      </c>
      <c r="C146" s="252"/>
      <c r="D146" s="247" t="s">
        <v>126</v>
      </c>
      <c r="E146" s="250" t="s">
        <v>10</v>
      </c>
      <c r="F146" s="250"/>
      <c r="G146" s="608">
        <v>912859885</v>
      </c>
      <c r="H146" s="250"/>
      <c r="I146" s="264"/>
      <c r="J146" s="265"/>
      <c r="K146" s="250"/>
      <c r="L146" s="263"/>
      <c r="M146" s="250"/>
    </row>
    <row r="147" spans="2:15">
      <c r="B147" s="251">
        <f>+B146+1</f>
        <v>70</v>
      </c>
      <c r="C147" s="252"/>
      <c r="D147" s="247" t="s">
        <v>130</v>
      </c>
      <c r="E147" s="250" t="s">
        <v>11</v>
      </c>
      <c r="F147" s="250"/>
      <c r="G147" s="608">
        <v>274032056</v>
      </c>
      <c r="H147" s="250"/>
      <c r="I147" s="264"/>
      <c r="J147" s="265"/>
      <c r="K147" s="250"/>
      <c r="L147" s="263"/>
      <c r="M147" s="250"/>
    </row>
    <row r="148" spans="2:15">
      <c r="B148" s="251">
        <f t="shared" ref="B148:B153" si="7">+B147+1</f>
        <v>71</v>
      </c>
      <c r="C148" s="252"/>
      <c r="D148" s="247" t="s">
        <v>246</v>
      </c>
      <c r="E148" s="250" t="s">
        <v>202</v>
      </c>
      <c r="F148" s="250"/>
      <c r="G148" s="608">
        <f>195211466+17374247+134913</f>
        <v>212720626</v>
      </c>
      <c r="H148" s="250"/>
      <c r="I148" s="264"/>
      <c r="J148" s="265"/>
      <c r="K148" s="250"/>
      <c r="L148" s="263"/>
      <c r="M148" s="250"/>
    </row>
    <row r="149" spans="2:15">
      <c r="B149" s="251">
        <f t="shared" si="7"/>
        <v>72</v>
      </c>
      <c r="C149" s="252"/>
      <c r="D149" s="247" t="s">
        <v>247</v>
      </c>
      <c r="E149" s="250" t="s">
        <v>417</v>
      </c>
      <c r="F149" s="250"/>
      <c r="G149" s="608">
        <v>11033</v>
      </c>
      <c r="H149" s="250"/>
      <c r="I149" s="264"/>
      <c r="J149" s="265"/>
      <c r="K149" s="250"/>
      <c r="L149" s="263"/>
      <c r="M149" s="250"/>
    </row>
    <row r="150" spans="2:15" ht="15.75" thickBot="1">
      <c r="B150" s="251">
        <f t="shared" si="7"/>
        <v>73</v>
      </c>
      <c r="C150" s="252"/>
      <c r="D150" s="247" t="s">
        <v>135</v>
      </c>
      <c r="E150" s="250" t="s">
        <v>416</v>
      </c>
      <c r="F150" s="250"/>
      <c r="G150" s="609">
        <v>897248070</v>
      </c>
      <c r="H150" s="263"/>
      <c r="I150" s="69"/>
      <c r="J150" s="69"/>
      <c r="K150"/>
      <c r="L150"/>
      <c r="M150" s="247"/>
      <c r="N150" s="250"/>
      <c r="O150" s="250"/>
    </row>
    <row r="151" spans="2:15">
      <c r="B151" s="251">
        <f t="shared" si="7"/>
        <v>74</v>
      </c>
      <c r="C151" s="252"/>
      <c r="D151" s="247" t="s">
        <v>248</v>
      </c>
      <c r="E151" s="250" t="str">
        <f>"(sum lns "&amp;B146&amp;"  to "&amp;B150&amp;")"</f>
        <v>(sum lns 69  to 73)</v>
      </c>
      <c r="F151" s="250"/>
      <c r="G151" s="263">
        <f>SUM(G146:G150)</f>
        <v>2296871670</v>
      </c>
      <c r="H151" s="263"/>
      <c r="I151" s="69"/>
      <c r="J151" s="69"/>
      <c r="K151"/>
      <c r="L151"/>
      <c r="M151" s="247"/>
      <c r="N151" s="250"/>
      <c r="O151" s="250"/>
    </row>
    <row r="152" spans="2:15">
      <c r="B152" s="251">
        <f t="shared" si="7"/>
        <v>75</v>
      </c>
      <c r="C152" s="252"/>
      <c r="D152" s="247" t="s">
        <v>328</v>
      </c>
      <c r="E152" s="250" t="str">
        <f>"(Note G) (Worksheet F, ln "&amp;'WS F Misc Exp'!A33&amp;".C)"</f>
        <v>(Note G) (Worksheet F, ln 14.C)</v>
      </c>
      <c r="F152" s="250"/>
      <c r="G152" s="263">
        <f>'WS F Misc Exp'!D33</f>
        <v>1306069.6100000001</v>
      </c>
      <c r="H152" s="263"/>
      <c r="I152" s="69"/>
      <c r="J152" s="69"/>
      <c r="K152"/>
      <c r="L152"/>
      <c r="M152" s="247"/>
      <c r="N152" s="250"/>
      <c r="O152" s="250"/>
    </row>
    <row r="153" spans="2:15">
      <c r="B153" s="251">
        <f t="shared" si="7"/>
        <v>76</v>
      </c>
      <c r="C153" s="252"/>
      <c r="D153" s="247" t="s">
        <v>23</v>
      </c>
      <c r="E153" s="250" t="s">
        <v>100</v>
      </c>
      <c r="F153" s="250"/>
      <c r="G153" s="608">
        <v>817087776.80999994</v>
      </c>
      <c r="H153" s="263"/>
      <c r="I153" s="69"/>
      <c r="J153" s="69"/>
      <c r="K153"/>
      <c r="L153"/>
      <c r="M153" s="247"/>
      <c r="N153" s="250"/>
      <c r="O153" s="250"/>
    </row>
    <row r="154" spans="2:15" ht="15.75" thickBot="1">
      <c r="B154" s="251">
        <f>+B153+1</f>
        <v>77</v>
      </c>
      <c r="C154" s="252"/>
      <c r="D154" s="247" t="s">
        <v>332</v>
      </c>
      <c r="E154" s="250" t="s">
        <v>480</v>
      </c>
      <c r="F154" s="250"/>
      <c r="G154" s="298">
        <f>+'WS F Misc Exp'!D21</f>
        <v>13646134.27</v>
      </c>
      <c r="H154" s="263"/>
      <c r="I154" s="69"/>
      <c r="J154" s="69"/>
      <c r="K154"/>
      <c r="L154"/>
      <c r="M154" s="247"/>
      <c r="N154" s="250"/>
      <c r="O154" s="250"/>
    </row>
    <row r="155" spans="2:15">
      <c r="B155" s="251">
        <f>+B154+1</f>
        <v>78</v>
      </c>
      <c r="C155" s="252"/>
      <c r="D155" s="247" t="s">
        <v>384</v>
      </c>
      <c r="E155" s="250" t="str">
        <f>"(lns "&amp;B150&amp;" - "&amp;B152&amp;" - "&amp;B153&amp;" - "&amp;B154&amp;")"</f>
        <v>(lns 73 - 75 - 76 - 77)</v>
      </c>
      <c r="F155" s="247"/>
      <c r="G155" s="263">
        <f>G150-G152-G153-G154</f>
        <v>65208089.310000047</v>
      </c>
      <c r="H155" s="250"/>
      <c r="I155" s="264" t="s">
        <v>120</v>
      </c>
      <c r="J155" s="265">
        <f>L239</f>
        <v>1</v>
      </c>
      <c r="K155" s="250"/>
      <c r="L155" s="263">
        <f>+J155*G155</f>
        <v>65208089.310000047</v>
      </c>
      <c r="M155" s="247"/>
      <c r="N155" s="250"/>
      <c r="O155" s="250"/>
    </row>
    <row r="156" spans="2:15">
      <c r="B156" s="251"/>
      <c r="C156" s="252"/>
      <c r="D156" s="247"/>
      <c r="E156" s="250"/>
      <c r="F156" s="250"/>
      <c r="G156" s="69"/>
      <c r="H156" s="263"/>
      <c r="I156" s="69"/>
      <c r="J156" s="69"/>
      <c r="K156"/>
      <c r="L156"/>
      <c r="M156" s="247"/>
      <c r="N156" s="250"/>
      <c r="O156" s="250"/>
    </row>
    <row r="157" spans="2:15">
      <c r="B157" s="251">
        <f>+B155+1</f>
        <v>79</v>
      </c>
      <c r="C157" s="252"/>
      <c r="D157" s="247" t="s">
        <v>104</v>
      </c>
      <c r="E157" s="250" t="s">
        <v>740</v>
      </c>
      <c r="F157" s="250"/>
      <c r="G157" s="608">
        <v>76147816</v>
      </c>
      <c r="H157" s="263"/>
      <c r="I157" s="304"/>
      <c r="J157" s="304"/>
      <c r="K157" s="250"/>
      <c r="L157" s="263"/>
      <c r="M157" s="250"/>
      <c r="N157" s="250"/>
      <c r="O157" s="250"/>
    </row>
    <row r="158" spans="2:15">
      <c r="B158" s="251">
        <f t="shared" ref="B158:B172" si="8">+B157+1</f>
        <v>80</v>
      </c>
      <c r="C158" s="252"/>
      <c r="D158" s="247" t="s">
        <v>330</v>
      </c>
      <c r="E158" s="250" t="s">
        <v>418</v>
      </c>
      <c r="F158" s="250"/>
      <c r="G158" s="608">
        <v>3441984.13</v>
      </c>
      <c r="H158" s="263"/>
      <c r="I158" s="304"/>
      <c r="J158" s="247"/>
      <c r="K158" s="250"/>
      <c r="L158" s="263"/>
      <c r="M158"/>
      <c r="N158" s="250"/>
      <c r="O158" s="250"/>
    </row>
    <row r="159" spans="2:15">
      <c r="B159" s="251">
        <f t="shared" si="8"/>
        <v>81</v>
      </c>
      <c r="C159" s="252"/>
      <c r="D159" s="906" t="s">
        <v>845</v>
      </c>
      <c r="E159" s="250" t="str">
        <f>"PBOP Worksheet O Line "&amp;'WS O - PBOP'!A37&amp;" &amp; "&amp;'WS O - PBOP'!A39&amp;", (Note K)"</f>
        <v>PBOP Worksheet O Line 9 &amp; 10, (Note K)</v>
      </c>
      <c r="F159" s="250"/>
      <c r="G159" s="907">
        <f>'WS O - PBOP'!I37+'WS O - PBOP'!I39</f>
        <v>-8286927.2399999984</v>
      </c>
      <c r="H159" s="263"/>
      <c r="I159" s="304"/>
      <c r="J159" s="247"/>
      <c r="K159" s="250"/>
      <c r="L159" s="263"/>
      <c r="M159"/>
      <c r="N159" s="250"/>
      <c r="O159" s="250"/>
    </row>
    <row r="160" spans="2:15">
      <c r="B160" s="251">
        <f t="shared" si="8"/>
        <v>82</v>
      </c>
      <c r="C160" s="252"/>
      <c r="D160" s="247" t="s">
        <v>846</v>
      </c>
      <c r="E160" s="250" t="str">
        <f>"PBOP Worksheet O  Line "&amp;'WS O - PBOP'!A41&amp;", (Note K)"</f>
        <v>PBOP Worksheet O  Line 11, (Note K)</v>
      </c>
      <c r="F160" s="250"/>
      <c r="G160" s="907">
        <f>'WS O - PBOP'!I41</f>
        <v>0</v>
      </c>
      <c r="H160" s="263"/>
      <c r="I160" s="304"/>
      <c r="J160" s="247"/>
      <c r="K160" s="250"/>
      <c r="L160" s="263"/>
      <c r="M160"/>
      <c r="N160" s="250"/>
      <c r="O160" s="250"/>
    </row>
    <row r="161" spans="2:15">
      <c r="B161" s="251">
        <f t="shared" si="8"/>
        <v>83</v>
      </c>
      <c r="C161" s="252"/>
      <c r="D161" s="247" t="s">
        <v>847</v>
      </c>
      <c r="E161" s="250" t="str">
        <f>"PBOP Worksheet O Line "&amp;'WS O - PBOP'!A45&amp;", (Note K)"</f>
        <v>PBOP Worksheet O Line 13, (Note K)</v>
      </c>
      <c r="F161" s="250"/>
      <c r="G161" s="907">
        <f>'WS O - PBOP'!I45</f>
        <v>-3151035.0853797835</v>
      </c>
      <c r="H161" s="263"/>
      <c r="I161" s="304"/>
      <c r="J161" s="247"/>
      <c r="K161" s="250"/>
      <c r="L161" s="263"/>
      <c r="M161"/>
      <c r="N161" s="250"/>
      <c r="O161" s="250"/>
    </row>
    <row r="162" spans="2:15">
      <c r="B162" s="251">
        <f t="shared" si="8"/>
        <v>84</v>
      </c>
      <c r="C162" s="252"/>
      <c r="D162" s="247" t="s">
        <v>329</v>
      </c>
      <c r="E162" s="250" t="s">
        <v>96</v>
      </c>
      <c r="F162" s="250"/>
      <c r="G162" s="608">
        <f>'WS F Misc Exp'!D43</f>
        <v>11338035.460000001</v>
      </c>
      <c r="H162" s="263"/>
      <c r="I162" s="304"/>
      <c r="J162" s="320"/>
      <c r="K162" s="250"/>
      <c r="L162" s="263"/>
      <c r="M162" s="250"/>
      <c r="N162" s="250"/>
      <c r="O162" s="250"/>
    </row>
    <row r="163" spans="2:15">
      <c r="B163" s="251">
        <f t="shared" si="8"/>
        <v>85</v>
      </c>
      <c r="C163" s="252"/>
      <c r="D163" s="247" t="s">
        <v>107</v>
      </c>
      <c r="E163" s="250" t="s">
        <v>97</v>
      </c>
      <c r="F163" s="250"/>
      <c r="G163" s="608">
        <f>'WS F Misc Exp'!D64</f>
        <v>541714.74</v>
      </c>
      <c r="H163" s="263"/>
      <c r="I163" s="304"/>
      <c r="J163" s="304"/>
      <c r="K163" s="250"/>
      <c r="L163" s="263"/>
      <c r="M163" s="250"/>
      <c r="N163" s="250"/>
      <c r="O163" s="250"/>
    </row>
    <row r="164" spans="2:15" ht="15.75" thickBot="1">
      <c r="B164" s="251">
        <f t="shared" si="8"/>
        <v>86</v>
      </c>
      <c r="C164" s="252"/>
      <c r="D164" s="247" t="s">
        <v>331</v>
      </c>
      <c r="E164" s="250" t="s">
        <v>98</v>
      </c>
      <c r="F164" s="250"/>
      <c r="G164" s="609">
        <f>'WS F Misc Exp'!D74</f>
        <v>2966213.5949999997</v>
      </c>
      <c r="H164" s="263"/>
      <c r="I164" s="304"/>
      <c r="J164" s="304"/>
      <c r="K164" s="250"/>
      <c r="L164" s="263"/>
      <c r="M164" s="250"/>
      <c r="N164" s="250"/>
      <c r="O164" s="250"/>
    </row>
    <row r="165" spans="2:15">
      <c r="B165" s="251">
        <f t="shared" si="8"/>
        <v>87</v>
      </c>
      <c r="C165" s="252"/>
      <c r="D165" s="247" t="s">
        <v>108</v>
      </c>
      <c r="E165" s="250" t="str">
        <f>"(ln "&amp;B157&amp;" - sum ln "&amp;B158&amp;"  to ln "&amp;B164&amp;")"</f>
        <v>(ln 79 - sum ln 80  to ln 86)</v>
      </c>
      <c r="F165" s="250"/>
      <c r="G165" s="263">
        <f>G157-SUM(G158:G164)</f>
        <v>69297830.400379777</v>
      </c>
      <c r="H165" s="263"/>
      <c r="I165" s="264" t="s">
        <v>132</v>
      </c>
      <c r="J165" s="265">
        <f>L257</f>
        <v>0.15100284283719081</v>
      </c>
      <c r="K165" s="250"/>
      <c r="L165" s="263">
        <f>+J165*G165</f>
        <v>10464169.392906852</v>
      </c>
      <c r="M165" s="250"/>
      <c r="N165" s="250"/>
      <c r="O165" s="250"/>
    </row>
    <row r="166" spans="2:15">
      <c r="B166" s="251" t="s">
        <v>1325</v>
      </c>
      <c r="C166" s="252"/>
      <c r="D166" s="247" t="s">
        <v>1326</v>
      </c>
      <c r="E166" s="250" t="s">
        <v>1327</v>
      </c>
      <c r="F166" s="250"/>
      <c r="G166" s="1185">
        <v>55334</v>
      </c>
      <c r="H166" s="263"/>
      <c r="I166" s="264" t="s">
        <v>1328</v>
      </c>
      <c r="J166" s="265">
        <f>$L$246</f>
        <v>0</v>
      </c>
      <c r="K166" s="250"/>
      <c r="L166" s="263">
        <f>+J166*G166</f>
        <v>0</v>
      </c>
      <c r="M166" s="250"/>
      <c r="N166" s="250"/>
      <c r="O166" s="250"/>
    </row>
    <row r="167" spans="2:15">
      <c r="B167" s="251">
        <f>+B165+1</f>
        <v>88</v>
      </c>
      <c r="C167" s="252"/>
      <c r="D167" s="247" t="s">
        <v>197</v>
      </c>
      <c r="E167" s="250" t="str">
        <f>"(ln "&amp;B158&amp;")"</f>
        <v>(ln 80)</v>
      </c>
      <c r="F167" s="250"/>
      <c r="G167" s="263">
        <f>+G158</f>
        <v>3441984.13</v>
      </c>
      <c r="H167" s="263"/>
      <c r="I167" s="264" t="s">
        <v>749</v>
      </c>
      <c r="J167" s="265">
        <f>J77</f>
        <v>0.31803881495927533</v>
      </c>
      <c r="K167" s="250"/>
      <c r="L167" s="263">
        <f>+J167*G167</f>
        <v>1094684.5538138323</v>
      </c>
      <c r="M167" s="250"/>
      <c r="N167" s="250"/>
      <c r="O167" s="250"/>
    </row>
    <row r="168" spans="2:15">
      <c r="B168" s="251">
        <f t="shared" si="8"/>
        <v>89</v>
      </c>
      <c r="C168" s="252"/>
      <c r="D168" s="247" t="s">
        <v>230</v>
      </c>
      <c r="E168" s="250" t="str">
        <f>"Worksheet F ln "&amp;'WS F Misc Exp'!A43&amp;".(E) (Note L)"</f>
        <v>Worksheet F ln 22.(E) (Note L)</v>
      </c>
      <c r="F168" s="250"/>
      <c r="G168" s="263">
        <f>+'WS F Misc Exp'!F43</f>
        <v>2986929.2590037934</v>
      </c>
      <c r="H168" s="263"/>
      <c r="I168" s="264" t="s">
        <v>120</v>
      </c>
      <c r="J168" s="265">
        <f>L239</f>
        <v>1</v>
      </c>
      <c r="K168" s="250"/>
      <c r="L168" s="263">
        <f>J168*G168</f>
        <v>2986929.2590037934</v>
      </c>
      <c r="M168" s="250"/>
      <c r="N168" s="250"/>
      <c r="O168" s="250"/>
    </row>
    <row r="169" spans="2:15">
      <c r="B169" s="251">
        <f t="shared" si="8"/>
        <v>90</v>
      </c>
      <c r="C169" s="252"/>
      <c r="D169" s="247" t="s">
        <v>240</v>
      </c>
      <c r="E169" s="250" t="str">
        <f>"Worksheet F ln "&amp;'WS F Misc Exp'!A64&amp;".(E) (Note L)"</f>
        <v>Worksheet F ln 40.(E) (Note L)</v>
      </c>
      <c r="F169" s="250"/>
      <c r="G169" s="263">
        <f>+'WS F Misc Exp'!F64</f>
        <v>1731.4</v>
      </c>
      <c r="H169" s="250"/>
      <c r="I169" s="264" t="s">
        <v>120</v>
      </c>
      <c r="J169" s="265">
        <f>L239</f>
        <v>1</v>
      </c>
      <c r="K169" s="250"/>
      <c r="L169" s="263">
        <f>+J169*G169</f>
        <v>1731.4</v>
      </c>
      <c r="M169" s="250"/>
      <c r="N169" s="250"/>
      <c r="O169" s="250"/>
    </row>
    <row r="170" spans="2:15">
      <c r="B170" s="251">
        <f t="shared" si="8"/>
        <v>91</v>
      </c>
      <c r="C170" s="252"/>
      <c r="D170" s="247" t="s">
        <v>241</v>
      </c>
      <c r="E170" s="250" t="str">
        <f>"Worksheet F ln "&amp;'WS F Misc Exp'!A74&amp;".(E) (Note L)"</f>
        <v>Worksheet F ln 47.(E) (Note L)</v>
      </c>
      <c r="F170" s="250"/>
      <c r="G170" s="263">
        <f>+'WS F Misc Exp'!F74</f>
        <v>782998.44500000007</v>
      </c>
      <c r="H170" s="321"/>
      <c r="I170" s="264" t="s">
        <v>129</v>
      </c>
      <c r="J170" s="265">
        <v>1</v>
      </c>
      <c r="K170" s="250"/>
      <c r="L170" s="263">
        <f>+J170*G170</f>
        <v>782998.44500000007</v>
      </c>
      <c r="M170" s="250"/>
      <c r="N170" s="250"/>
      <c r="O170" s="250"/>
    </row>
    <row r="171" spans="2:15">
      <c r="B171" s="251">
        <f t="shared" si="8"/>
        <v>92</v>
      </c>
      <c r="C171" s="252"/>
      <c r="D171" s="247" t="s">
        <v>848</v>
      </c>
      <c r="E171" s="250" t="s">
        <v>850</v>
      </c>
      <c r="F171" s="250"/>
      <c r="G171" s="342">
        <f>'WS O - PBOP'!E26</f>
        <v>-55449686</v>
      </c>
      <c r="H171" s="321"/>
      <c r="I171" s="264" t="s">
        <v>132</v>
      </c>
      <c r="J171" s="265">
        <f>L257</f>
        <v>0.15100284283719081</v>
      </c>
      <c r="K171" s="250"/>
      <c r="L171" s="342">
        <f>+J171*G171</f>
        <v>-8373060.2204295797</v>
      </c>
      <c r="M171" s="250"/>
      <c r="N171" s="250"/>
      <c r="O171" s="250"/>
    </row>
    <row r="172" spans="2:15">
      <c r="B172" s="251">
        <f t="shared" si="8"/>
        <v>93</v>
      </c>
      <c r="C172" s="252"/>
      <c r="D172" s="247" t="s">
        <v>109</v>
      </c>
      <c r="E172" s="250" t="str">
        <f>"(sum lns "&amp;B165&amp;"  to "&amp;B171&amp;")"</f>
        <v>(sum lns 87  to 92)</v>
      </c>
      <c r="F172" s="250"/>
      <c r="G172" s="263">
        <f>SUM(G165:G171)</f>
        <v>21117121.634383559</v>
      </c>
      <c r="H172" s="263"/>
      <c r="I172" s="264"/>
      <c r="J172" s="304"/>
      <c r="K172" s="250"/>
      <c r="L172" s="263">
        <f>SUM(L165:L171)</f>
        <v>6957452.8302948987</v>
      </c>
      <c r="M172" s="250"/>
      <c r="N172" s="263"/>
      <c r="O172" s="250"/>
    </row>
    <row r="173" spans="2:15" ht="15.75" thickBot="1">
      <c r="B173" s="251"/>
      <c r="C173" s="252"/>
      <c r="D173" s="247"/>
      <c r="E173" s="250"/>
      <c r="F173" s="250"/>
      <c r="G173" s="298"/>
      <c r="H173" s="250"/>
      <c r="I173" s="264"/>
      <c r="J173" s="304"/>
      <c r="K173" s="250"/>
      <c r="L173" s="298"/>
      <c r="M173" s="250"/>
      <c r="N173" s="250"/>
      <c r="O173" s="250"/>
    </row>
    <row r="174" spans="2:15">
      <c r="B174" s="251">
        <f>+B172+1</f>
        <v>94</v>
      </c>
      <c r="C174" s="252"/>
      <c r="D174" s="247" t="s">
        <v>414</v>
      </c>
      <c r="E174" s="250" t="str">
        <f>"(ln "&amp;B155&amp;" + ln "&amp;B172&amp;")"</f>
        <v>(ln 78 + ln 93)</v>
      </c>
      <c r="F174" s="250"/>
      <c r="G174" s="263">
        <f>+G155+G172</f>
        <v>86325210.944383606</v>
      </c>
      <c r="H174" s="263"/>
      <c r="I174" s="264"/>
      <c r="J174" s="250"/>
      <c r="K174" s="250"/>
      <c r="L174" s="263">
        <f>L155+L172</f>
        <v>72165542.140294939</v>
      </c>
      <c r="M174" s="250"/>
      <c r="N174" s="250"/>
      <c r="O174" s="250"/>
    </row>
    <row r="175" spans="2:15" ht="15.75" thickBot="1">
      <c r="B175" s="251">
        <f>+B174+1</f>
        <v>95</v>
      </c>
      <c r="C175" s="252"/>
      <c r="D175" s="247" t="s">
        <v>486</v>
      </c>
      <c r="E175" s="247"/>
      <c r="F175" s="250"/>
      <c r="G175" s="608">
        <v>2784788</v>
      </c>
      <c r="H175" s="263"/>
      <c r="I175" s="264" t="s">
        <v>129</v>
      </c>
      <c r="J175" s="265">
        <v>1</v>
      </c>
      <c r="K175" s="250"/>
      <c r="L175" s="298">
        <f>J175*G175</f>
        <v>2784788</v>
      </c>
      <c r="M175" s="250"/>
      <c r="N175" s="250"/>
      <c r="O175" s="250"/>
    </row>
    <row r="176" spans="2:15">
      <c r="B176" s="251">
        <f>+B175+1</f>
        <v>96</v>
      </c>
      <c r="C176" s="252"/>
      <c r="D176" s="247" t="s">
        <v>110</v>
      </c>
      <c r="E176" s="250" t="str">
        <f>"(ln "&amp;B174&amp;" + ln "&amp;B175&amp;")"</f>
        <v>(ln 94 + ln 95)</v>
      </c>
      <c r="F176" s="250"/>
      <c r="G176" s="263">
        <f>+G174+G175</f>
        <v>89109998.944383606</v>
      </c>
      <c r="H176" s="263"/>
      <c r="I176" s="264"/>
      <c r="J176" s="250"/>
      <c r="K176" s="250"/>
      <c r="L176" s="263">
        <f>+L174+L175</f>
        <v>74950330.140294939</v>
      </c>
      <c r="M176" s="250"/>
      <c r="N176" s="250"/>
      <c r="O176" s="250"/>
    </row>
    <row r="177" spans="2:15">
      <c r="B177" s="251"/>
      <c r="C177" s="252"/>
      <c r="D177" s="247"/>
      <c r="E177" s="250"/>
      <c r="F177" s="250"/>
      <c r="G177" s="263"/>
      <c r="H177" s="250"/>
      <c r="I177" s="250"/>
      <c r="J177" s="250"/>
      <c r="K177" s="250"/>
      <c r="L177" s="263"/>
      <c r="M177" s="250"/>
      <c r="N177" s="250"/>
      <c r="O177" s="250"/>
    </row>
    <row r="178" spans="2:15">
      <c r="B178" s="251">
        <f>+B176+1</f>
        <v>97</v>
      </c>
      <c r="C178" s="252"/>
      <c r="D178" s="247" t="s">
        <v>113</v>
      </c>
      <c r="E178" s="264"/>
      <c r="F178" s="264"/>
      <c r="G178" s="263"/>
      <c r="H178" s="250"/>
      <c r="I178" s="264"/>
      <c r="J178" s="250"/>
      <c r="K178" s="250"/>
      <c r="L178" s="263"/>
      <c r="M178" s="250"/>
      <c r="N178" s="250"/>
      <c r="O178" s="250"/>
    </row>
    <row r="179" spans="2:15">
      <c r="B179" s="251">
        <f t="shared" ref="B179:B183" si="9">+B178+1</f>
        <v>98</v>
      </c>
      <c r="C179" s="252"/>
      <c r="D179" s="247" t="s">
        <v>126</v>
      </c>
      <c r="E179" s="261" t="s">
        <v>424</v>
      </c>
      <c r="F179" s="264"/>
      <c r="G179" s="1187">
        <v>0</v>
      </c>
      <c r="H179" s="250"/>
      <c r="I179" s="264" t="s">
        <v>127</v>
      </c>
      <c r="J179" s="265">
        <v>0</v>
      </c>
      <c r="K179" s="250"/>
      <c r="L179" s="263">
        <f>+G179*J179</f>
        <v>0</v>
      </c>
      <c r="M179" s="250"/>
      <c r="N179" s="250"/>
      <c r="O179" s="250"/>
    </row>
    <row r="180" spans="2:15">
      <c r="B180" s="251">
        <f t="shared" si="9"/>
        <v>99</v>
      </c>
      <c r="C180" s="252"/>
      <c r="D180" s="247" t="s">
        <v>130</v>
      </c>
      <c r="E180" s="261" t="s">
        <v>423</v>
      </c>
      <c r="F180" s="264"/>
      <c r="G180" s="1187">
        <v>226097659</v>
      </c>
      <c r="H180" s="250"/>
      <c r="I180" s="264" t="s">
        <v>127</v>
      </c>
      <c r="J180" s="265">
        <v>0</v>
      </c>
      <c r="K180" s="250"/>
      <c r="L180" s="263">
        <f>+G180*J180</f>
        <v>0</v>
      </c>
      <c r="M180" s="250"/>
      <c r="N180" s="250"/>
      <c r="O180" s="250"/>
    </row>
    <row r="181" spans="2:15">
      <c r="B181" s="251">
        <f t="shared" si="9"/>
        <v>100</v>
      </c>
      <c r="C181" s="252"/>
      <c r="D181" s="293" t="str">
        <f>+D150</f>
        <v xml:space="preserve">  Transmission </v>
      </c>
      <c r="E181" s="261" t="s">
        <v>419</v>
      </c>
      <c r="F181" s="294"/>
      <c r="G181" s="1187">
        <v>89533634</v>
      </c>
      <c r="H181" s="322"/>
      <c r="I181" s="295" t="s">
        <v>26</v>
      </c>
      <c r="J181" s="265">
        <f>J82</f>
        <v>1</v>
      </c>
      <c r="K181" s="296"/>
      <c r="L181" s="297">
        <f>J181*G181</f>
        <v>89533634</v>
      </c>
      <c r="M181" s="296"/>
      <c r="N181" s="250"/>
      <c r="O181" s="250"/>
    </row>
    <row r="182" spans="2:15">
      <c r="B182" s="251">
        <f>+B181+1</f>
        <v>101</v>
      </c>
      <c r="C182" s="252"/>
      <c r="D182" s="247" t="s">
        <v>136</v>
      </c>
      <c r="E182" s="294" t="s">
        <v>420</v>
      </c>
      <c r="F182" s="250"/>
      <c r="G182" s="1187">
        <v>67748083</v>
      </c>
      <c r="H182" s="263"/>
      <c r="I182" s="264" t="s">
        <v>132</v>
      </c>
      <c r="J182" s="265">
        <f>L257</f>
        <v>0.15100284283719081</v>
      </c>
      <c r="K182" s="250"/>
      <c r="L182" s="263">
        <f>+J182*G182</f>
        <v>10230153.129769959</v>
      </c>
      <c r="M182" s="250"/>
      <c r="N182" s="250"/>
      <c r="O182" s="250"/>
    </row>
    <row r="183" spans="2:15">
      <c r="B183" s="251">
        <f t="shared" si="9"/>
        <v>102</v>
      </c>
      <c r="C183" s="252"/>
      <c r="D183" s="247" t="s">
        <v>137</v>
      </c>
      <c r="E183" s="294" t="s">
        <v>421</v>
      </c>
      <c r="F183" s="250"/>
      <c r="G183" s="1187">
        <v>0</v>
      </c>
      <c r="H183" s="263"/>
      <c r="I183" s="264" t="s">
        <v>132</v>
      </c>
      <c r="J183" s="265">
        <f>L257</f>
        <v>0.15100284283719081</v>
      </c>
      <c r="K183" s="250"/>
      <c r="L183" s="263">
        <f>+J183*G183</f>
        <v>0</v>
      </c>
      <c r="M183" s="250"/>
      <c r="N183" s="250"/>
      <c r="O183" s="250"/>
    </row>
    <row r="184" spans="2:15" ht="15.75" thickBot="1">
      <c r="B184" s="251" t="s">
        <v>1359</v>
      </c>
      <c r="C184" s="252"/>
      <c r="D184" s="247" t="s">
        <v>1326</v>
      </c>
      <c r="E184" s="261" t="s">
        <v>1360</v>
      </c>
      <c r="F184" s="250"/>
      <c r="G184" s="609">
        <v>2767</v>
      </c>
      <c r="H184" s="250"/>
      <c r="I184" s="264" t="s">
        <v>1328</v>
      </c>
      <c r="J184" s="265">
        <f>$L$246</f>
        <v>0</v>
      </c>
      <c r="K184" s="250"/>
      <c r="L184" s="298">
        <f>+G184*J184</f>
        <v>0</v>
      </c>
      <c r="M184" s="250"/>
      <c r="N184" s="250"/>
      <c r="O184" s="250"/>
    </row>
    <row r="185" spans="2:15">
      <c r="B185" s="251">
        <f>+B183+1</f>
        <v>103</v>
      </c>
      <c r="C185" s="252"/>
      <c r="D185" s="247" t="s">
        <v>301</v>
      </c>
      <c r="E185" s="1214" t="str">
        <f>"(Ln "&amp;B179&amp;"+"&amp;B180&amp;"+
"&amp;B181&amp;"+"&amp;B182&amp;"+"&amp;B183&amp;")"</f>
        <v>(Ln 98+99+
100+101+102)</v>
      </c>
      <c r="F185" s="250"/>
      <c r="G185" s="263">
        <f>+G179+G180+G181+G182+G183+G184</f>
        <v>383382143</v>
      </c>
      <c r="H185" s="250"/>
      <c r="I185" s="264"/>
      <c r="J185" s="250"/>
      <c r="K185" s="250"/>
      <c r="L185" s="263">
        <f>+L179+L180+L181+L182+L183+L184</f>
        <v>99763787.129769951</v>
      </c>
      <c r="M185" s="250"/>
      <c r="N185" s="250"/>
      <c r="O185" s="250"/>
    </row>
    <row r="186" spans="2:15">
      <c r="B186" s="251"/>
      <c r="C186" s="252"/>
      <c r="D186" s="247"/>
      <c r="E186" s="1215"/>
      <c r="F186" s="250"/>
      <c r="G186" s="263"/>
      <c r="H186" s="250"/>
      <c r="I186" s="264"/>
      <c r="J186" s="250"/>
      <c r="K186" s="250"/>
      <c r="L186" s="263"/>
      <c r="M186" s="250"/>
      <c r="N186" s="250"/>
      <c r="O186" s="250"/>
    </row>
    <row r="187" spans="2:15">
      <c r="B187" s="251">
        <f>+B185+1</f>
        <v>104</v>
      </c>
      <c r="C187" s="252"/>
      <c r="D187" s="247" t="s">
        <v>32</v>
      </c>
      <c r="E187" s="243" t="s">
        <v>422</v>
      </c>
      <c r="G187" s="263"/>
      <c r="H187" s="250"/>
      <c r="I187" s="264"/>
      <c r="J187" s="250"/>
      <c r="K187" s="250"/>
      <c r="L187" s="263"/>
      <c r="M187" s="250"/>
      <c r="N187" s="315"/>
      <c r="O187" s="250"/>
    </row>
    <row r="188" spans="2:15">
      <c r="B188" s="251">
        <f t="shared" ref="B188:B193" si="10">+B187+1</f>
        <v>105</v>
      </c>
      <c r="C188" s="252"/>
      <c r="D188" s="247" t="s">
        <v>138</v>
      </c>
      <c r="G188" s="263"/>
      <c r="H188" s="250"/>
      <c r="I188" s="264"/>
      <c r="K188" s="250"/>
      <c r="L188" s="263"/>
      <c r="M188" s="250"/>
      <c r="N188" s="250"/>
      <c r="O188" s="250"/>
    </row>
    <row r="189" spans="2:15">
      <c r="B189" s="251">
        <f t="shared" si="10"/>
        <v>106</v>
      </c>
      <c r="C189" s="252"/>
      <c r="D189" s="247" t="s">
        <v>139</v>
      </c>
      <c r="E189" s="250" t="str">
        <f>"Worksheet H ln "&amp;'WS H Other Taxes'!A43&amp;"."&amp;'WS H Other Taxes'!I10&amp;""</f>
        <v>Worksheet H ln 24.(D)</v>
      </c>
      <c r="F189" s="250"/>
      <c r="G189" s="263">
        <f>+'WS H Other Taxes'!I43</f>
        <v>6673348</v>
      </c>
      <c r="H189" s="263"/>
      <c r="I189" s="264" t="s">
        <v>132</v>
      </c>
      <c r="J189" s="265">
        <f>L257</f>
        <v>0.15100284283719081</v>
      </c>
      <c r="K189" s="250"/>
      <c r="L189" s="263">
        <f>+J189*G189</f>
        <v>1007694.5192418817</v>
      </c>
      <c r="M189" s="310"/>
      <c r="N189" s="250"/>
      <c r="O189" s="250"/>
    </row>
    <row r="190" spans="2:15">
      <c r="B190" s="251">
        <f t="shared" si="10"/>
        <v>107</v>
      </c>
      <c r="C190" s="252"/>
      <c r="D190" s="247" t="s">
        <v>140</v>
      </c>
      <c r="E190" s="250" t="s">
        <v>114</v>
      </c>
      <c r="F190" s="250"/>
      <c r="G190" s="263"/>
      <c r="H190" s="263"/>
      <c r="I190" s="264"/>
      <c r="K190" s="250"/>
      <c r="L190" s="263"/>
      <c r="M190" s="250"/>
      <c r="N190" s="250"/>
      <c r="O190" s="250"/>
    </row>
    <row r="191" spans="2:15">
      <c r="B191" s="251">
        <f t="shared" si="10"/>
        <v>108</v>
      </c>
      <c r="C191" s="252"/>
      <c r="D191" s="247" t="s">
        <v>141</v>
      </c>
      <c r="E191" s="250" t="str">
        <f>"Worksheet H ln "&amp;'WS H Other Taxes'!A43&amp;"."&amp;'WS H Other Taxes'!G10&amp;""</f>
        <v>Worksheet H ln 24.(C)</v>
      </c>
      <c r="F191" s="250"/>
      <c r="G191" s="263">
        <f>+'WS H Other Taxes'!G43</f>
        <v>403888174.61000001</v>
      </c>
      <c r="H191" s="263"/>
      <c r="I191" s="264" t="s">
        <v>129</v>
      </c>
      <c r="J191" s="265"/>
      <c r="K191" s="250"/>
      <c r="L191" s="315">
        <f>'WS H-1-Detail of Tax Amts'!I25</f>
        <v>132193435.01340652</v>
      </c>
      <c r="M191" s="323"/>
      <c r="N191" s="315"/>
      <c r="O191" s="250"/>
    </row>
    <row r="192" spans="2:15">
      <c r="B192" s="251">
        <f t="shared" si="10"/>
        <v>109</v>
      </c>
      <c r="C192" s="252"/>
      <c r="D192" s="247" t="s">
        <v>200</v>
      </c>
      <c r="E192" s="250" t="str">
        <f>"Worksheet H ln "&amp;'WS H Other Taxes'!A43&amp;"."&amp;'WS H Other Taxes'!M10&amp;""</f>
        <v>Worksheet H ln 24.(F)</v>
      </c>
      <c r="F192" s="250"/>
      <c r="G192" s="263">
        <f>+'WS H Other Taxes'!M43</f>
        <v>164507246</v>
      </c>
      <c r="H192" s="69"/>
      <c r="I192" s="264" t="s">
        <v>127</v>
      </c>
      <c r="J192" s="265">
        <v>0</v>
      </c>
      <c r="K192" s="250"/>
      <c r="L192" s="263">
        <f>+J192*G192</f>
        <v>0</v>
      </c>
      <c r="M192" s="250"/>
      <c r="N192" s="250"/>
      <c r="O192" s="250"/>
    </row>
    <row r="193" spans="2:15" ht="15.75" thickBot="1">
      <c r="B193" s="251">
        <f t="shared" si="10"/>
        <v>110</v>
      </c>
      <c r="C193" s="252"/>
      <c r="D193" s="247" t="s">
        <v>142</v>
      </c>
      <c r="E193" s="250" t="str">
        <f>"Worksheet H ln "&amp;'WS H Other Taxes'!A43&amp;"."&amp;'WS H Other Taxes'!K10&amp;""</f>
        <v>Worksheet H ln 24.(E)</v>
      </c>
      <c r="F193" s="250"/>
      <c r="G193" s="298">
        <f>+'WS H Other Taxes'!K43</f>
        <v>-100</v>
      </c>
      <c r="H193" s="69"/>
      <c r="I193" s="264" t="s">
        <v>749</v>
      </c>
      <c r="J193" s="265">
        <f>J77</f>
        <v>0.31803881495927533</v>
      </c>
      <c r="K193" s="250"/>
      <c r="L193" s="298">
        <f>+J193*G193</f>
        <v>-31.803881495927534</v>
      </c>
      <c r="M193" s="250"/>
      <c r="N193" s="250"/>
      <c r="O193" s="250"/>
    </row>
    <row r="194" spans="2:15">
      <c r="B194" s="251">
        <f>+B193+1</f>
        <v>111</v>
      </c>
      <c r="C194" s="252"/>
      <c r="D194" s="247" t="s">
        <v>33</v>
      </c>
      <c r="E194" s="261" t="str">
        <f>"(sum lns "&amp;B189&amp;" to "&amp;B193&amp;")"</f>
        <v>(sum lns 106 to 110)</v>
      </c>
      <c r="F194" s="250"/>
      <c r="G194" s="263">
        <f>SUM(G189:G193)</f>
        <v>575068668.61000001</v>
      </c>
      <c r="H194" s="250"/>
      <c r="I194" s="264"/>
      <c r="J194" s="324"/>
      <c r="K194" s="250"/>
      <c r="L194" s="263">
        <f>SUM(L189:L193)</f>
        <v>133201097.7287669</v>
      </c>
      <c r="M194" s="250"/>
      <c r="N194" s="250"/>
      <c r="O194" s="250"/>
    </row>
    <row r="195" spans="2:15">
      <c r="B195" s="251"/>
      <c r="C195" s="252"/>
      <c r="D195" s="247"/>
      <c r="E195" s="250"/>
      <c r="F195" s="250"/>
      <c r="G195" s="250"/>
      <c r="H195" s="250"/>
      <c r="I195" s="264"/>
      <c r="J195" s="324"/>
      <c r="K195" s="250"/>
      <c r="L195" s="250"/>
      <c r="M195" s="309"/>
      <c r="N195" s="250"/>
      <c r="O195" s="250"/>
    </row>
    <row r="196" spans="2:15">
      <c r="B196" s="251">
        <f>+B194+1</f>
        <v>112</v>
      </c>
      <c r="C196" s="252"/>
      <c r="D196" s="247" t="s">
        <v>337</v>
      </c>
      <c r="E196" s="250" t="s">
        <v>425</v>
      </c>
      <c r="F196" s="325"/>
      <c r="G196" s="250"/>
      <c r="H196" s="69"/>
      <c r="I196" s="316"/>
      <c r="K196" s="250"/>
      <c r="L196" s="326"/>
      <c r="M196" s="250"/>
      <c r="N196" s="250"/>
      <c r="O196" s="250"/>
    </row>
    <row r="197" spans="2:15">
      <c r="B197" s="251">
        <f t="shared" ref="B197:B204" si="11">+B196+1</f>
        <v>113</v>
      </c>
      <c r="C197" s="252"/>
      <c r="D197" s="310" t="s">
        <v>338</v>
      </c>
      <c r="E197" s="250"/>
      <c r="F197" s="327"/>
      <c r="G197" s="328">
        <f>IF(F355&gt;0,1-(((1-F356)*(1-F355))/(1-F356*F355*F357)),0)</f>
        <v>0.22063655999999998</v>
      </c>
      <c r="H197" s="329"/>
      <c r="I197" s="329"/>
      <c r="K197" s="330"/>
      <c r="L197" s="326"/>
      <c r="M197" s="250"/>
      <c r="N197" s="250"/>
      <c r="O197" s="250"/>
    </row>
    <row r="198" spans="2:15">
      <c r="B198" s="251">
        <f t="shared" si="11"/>
        <v>114</v>
      </c>
      <c r="C198" s="252"/>
      <c r="D198" s="243" t="s">
        <v>339</v>
      </c>
      <c r="E198" s="250"/>
      <c r="F198" s="327"/>
      <c r="G198" s="328">
        <f>IF(L271&gt;0,($G197/(1-$G197))*(1-$L271/$L274),0)</f>
        <v>0.2017466187308955</v>
      </c>
      <c r="H198" s="329"/>
      <c r="I198" s="329"/>
      <c r="K198" s="330"/>
      <c r="L198" s="326"/>
      <c r="M198" s="250"/>
      <c r="N198" s="250"/>
      <c r="O198" s="250"/>
    </row>
    <row r="199" spans="2:15">
      <c r="B199" s="251">
        <f t="shared" si="11"/>
        <v>115</v>
      </c>
      <c r="C199" s="252"/>
      <c r="D199" s="247" t="str">
        <f>"       where WCLTD=(ln "&amp;B271&amp;") and WACC = (ln "&amp;B274&amp;")"</f>
        <v xml:space="preserve">       where WCLTD=(ln 154) and WACC = (ln 157)</v>
      </c>
      <c r="E199" s="250"/>
      <c r="F199" s="325"/>
      <c r="G199" s="250"/>
      <c r="H199" s="329"/>
      <c r="I199" s="329"/>
      <c r="J199" s="331"/>
      <c r="K199" s="330"/>
      <c r="L199" s="332"/>
      <c r="M199" s="250"/>
      <c r="N199" s="250"/>
      <c r="O199" s="250"/>
    </row>
    <row r="200" spans="2:15">
      <c r="B200" s="251">
        <f t="shared" si="11"/>
        <v>116</v>
      </c>
      <c r="C200" s="252"/>
      <c r="D200" s="247" t="s">
        <v>428</v>
      </c>
      <c r="E200" s="333"/>
      <c r="F200" s="327"/>
      <c r="G200" s="250"/>
      <c r="H200" s="69"/>
      <c r="I200" s="316"/>
      <c r="J200" s="331"/>
      <c r="K200" s="330"/>
      <c r="L200" s="326"/>
      <c r="M200" s="250"/>
      <c r="N200" s="250"/>
      <c r="O200" s="250"/>
    </row>
    <row r="201" spans="2:15">
      <c r="B201" s="251">
        <f t="shared" si="11"/>
        <v>117</v>
      </c>
      <c r="C201" s="252"/>
      <c r="D201" s="310" t="str">
        <f>"      GRCF=1 / (1 - T)  = (from ln "&amp;B197&amp;")"</f>
        <v xml:space="preserve">      GRCF=1 / (1 - T)  = (from ln 113)</v>
      </c>
      <c r="E201" s="325"/>
      <c r="F201" s="325"/>
      <c r="G201" s="334">
        <f>IF(G197&gt;0,1/(1-G197),0)</f>
        <v>1.2830984219634423</v>
      </c>
      <c r="H201" s="69"/>
      <c r="I201" s="277"/>
      <c r="J201" s="335"/>
      <c r="K201" s="336"/>
      <c r="L201" s="337"/>
      <c r="M201" s="250"/>
      <c r="N201" s="250"/>
      <c r="O201" s="250"/>
    </row>
    <row r="202" spans="2:15">
      <c r="B202" s="251">
        <f t="shared" si="11"/>
        <v>118</v>
      </c>
      <c r="C202" s="252"/>
      <c r="D202" s="247" t="s">
        <v>340</v>
      </c>
      <c r="E202" s="304" t="s">
        <v>504</v>
      </c>
      <c r="F202" s="325"/>
      <c r="G202" s="608">
        <v>0</v>
      </c>
      <c r="H202" s="69"/>
      <c r="I202" s="277"/>
      <c r="J202" s="338"/>
      <c r="K202" s="336"/>
      <c r="L202" s="326"/>
      <c r="M202" s="264"/>
      <c r="N202" s="250"/>
      <c r="O202" s="250"/>
    </row>
    <row r="203" spans="2:15">
      <c r="B203" s="251">
        <f t="shared" si="11"/>
        <v>119</v>
      </c>
      <c r="C203" s="252"/>
      <c r="D203" s="243" t="s">
        <v>532</v>
      </c>
      <c r="E203" s="250" t="s">
        <v>545</v>
      </c>
      <c r="F203" s="339"/>
      <c r="G203" s="608">
        <v>-11887111</v>
      </c>
      <c r="H203" s="69"/>
      <c r="I203" s="264" t="s">
        <v>129</v>
      </c>
      <c r="J203" s="338"/>
      <c r="K203" s="336"/>
      <c r="L203" s="608">
        <v>-8494621</v>
      </c>
      <c r="M203" s="264"/>
      <c r="N203" s="250"/>
      <c r="O203" s="250"/>
    </row>
    <row r="204" spans="2:15">
      <c r="B204" s="251">
        <f t="shared" si="11"/>
        <v>120</v>
      </c>
      <c r="C204" s="252"/>
      <c r="D204" s="243" t="s">
        <v>739</v>
      </c>
      <c r="E204" s="250" t="s">
        <v>545</v>
      </c>
      <c r="F204" s="339"/>
      <c r="G204" s="608">
        <v>2382449.2263211356</v>
      </c>
      <c r="H204" s="69"/>
      <c r="I204" s="264" t="s">
        <v>129</v>
      </c>
      <c r="J204" s="338"/>
      <c r="K204" s="336"/>
      <c r="L204" s="608">
        <v>1390752.0834165458</v>
      </c>
      <c r="M204" s="264"/>
      <c r="N204" s="250"/>
      <c r="O204" s="250"/>
    </row>
    <row r="205" spans="2:15">
      <c r="B205" s="251"/>
      <c r="C205" s="252"/>
      <c r="D205" s="247"/>
      <c r="E205" s="250"/>
      <c r="F205" s="327"/>
      <c r="G205" s="263"/>
      <c r="H205" s="69"/>
      <c r="I205" s="277"/>
      <c r="J205" s="340"/>
      <c r="K205" s="336"/>
      <c r="L205" s="326"/>
      <c r="M205" s="250"/>
      <c r="N205" s="250"/>
      <c r="O205" s="250"/>
    </row>
    <row r="206" spans="2:15">
      <c r="B206" s="251">
        <f>+B204+1</f>
        <v>121</v>
      </c>
      <c r="C206" s="252"/>
      <c r="D206" s="310" t="s">
        <v>341</v>
      </c>
      <c r="E206" s="339" t="str">
        <f>"(ln "&amp;B198&amp;" * ln "&amp;B213&amp;")"</f>
        <v>(ln 114 * ln 126)</v>
      </c>
      <c r="F206" s="341"/>
      <c r="G206" s="263">
        <f>+G198*G213</f>
        <v>107067400.76361409</v>
      </c>
      <c r="H206" s="69"/>
      <c r="I206" s="277"/>
      <c r="J206" s="340"/>
      <c r="K206" s="263"/>
      <c r="L206" s="263">
        <f>+L213*G198</f>
        <v>35634185.577974506</v>
      </c>
      <c r="M206" s="250"/>
      <c r="N206" s="250"/>
      <c r="O206" s="250"/>
    </row>
    <row r="207" spans="2:15">
      <c r="B207" s="251">
        <f>+B206+1</f>
        <v>122</v>
      </c>
      <c r="C207" s="252"/>
      <c r="D207" s="243" t="s">
        <v>342</v>
      </c>
      <c r="E207" s="339" t="str">
        <f>"(ln "&amp;B201&amp;" * ln "&amp;B202&amp;")"</f>
        <v>(ln 117 * ln 118)</v>
      </c>
      <c r="F207" s="339"/>
      <c r="G207" s="263">
        <f>G201*G202</f>
        <v>0</v>
      </c>
      <c r="H207" s="69"/>
      <c r="I207" s="264" t="s">
        <v>749</v>
      </c>
      <c r="J207" s="265">
        <f>J77</f>
        <v>0.31803881495927533</v>
      </c>
      <c r="K207" s="263"/>
      <c r="L207" s="263">
        <f>+G207*J207</f>
        <v>0</v>
      </c>
      <c r="M207" s="250"/>
      <c r="N207" s="250"/>
      <c r="O207" s="250"/>
    </row>
    <row r="208" spans="2:15">
      <c r="B208" s="251">
        <f>B207+1</f>
        <v>123</v>
      </c>
      <c r="C208" s="252"/>
      <c r="D208" s="243" t="s">
        <v>532</v>
      </c>
      <c r="E208" s="339" t="str">
        <f>"(ln "&amp;B201&amp;" * ln "&amp;B203&amp;")"</f>
        <v>(ln 117 * ln 119)</v>
      </c>
      <c r="F208" s="339"/>
      <c r="G208" s="263">
        <f>G203*G201</f>
        <v>-15252333.365804275</v>
      </c>
      <c r="H208" s="69"/>
      <c r="I208" s="279"/>
      <c r="J208" s="265"/>
      <c r="K208" s="263"/>
      <c r="L208" s="263">
        <f>L203*G201</f>
        <v>-10899434.800277518</v>
      </c>
      <c r="M208" s="250"/>
      <c r="N208" s="250"/>
      <c r="O208" s="250"/>
    </row>
    <row r="209" spans="2:15">
      <c r="B209" s="251">
        <f>B208+1</f>
        <v>124</v>
      </c>
      <c r="C209" s="252"/>
      <c r="D209" s="243" t="s">
        <v>739</v>
      </c>
      <c r="E209" s="339" t="str">
        <f>"(ln "&amp;B201&amp;" * ln "&amp;B204&amp;")"</f>
        <v>(ln 117 * ln 120)</v>
      </c>
      <c r="F209" s="339"/>
      <c r="G209" s="342">
        <f>G204*G201</f>
        <v>3056916.8427006733</v>
      </c>
      <c r="H209" s="69"/>
      <c r="I209" s="279"/>
      <c r="J209" s="265"/>
      <c r="K209" s="263"/>
      <c r="L209" s="342">
        <f>L204*G201</f>
        <v>1784471.8035741395</v>
      </c>
      <c r="M209" s="250"/>
      <c r="N209" s="250"/>
      <c r="O209" s="250"/>
    </row>
    <row r="210" spans="2:15">
      <c r="B210" s="251"/>
      <c r="C210" s="252"/>
      <c r="E210" s="339"/>
      <c r="F210" s="339"/>
      <c r="G210" s="263"/>
      <c r="H210" s="69"/>
      <c r="I210" s="279"/>
      <c r="J210" s="265"/>
      <c r="K210" s="263"/>
      <c r="L210" s="263"/>
      <c r="M210" s="250"/>
      <c r="N210" s="250"/>
      <c r="O210" s="250"/>
    </row>
    <row r="211" spans="2:15">
      <c r="B211" s="251">
        <f>+B209+1</f>
        <v>125</v>
      </c>
      <c r="C211" s="252"/>
      <c r="D211" s="310" t="s">
        <v>35</v>
      </c>
      <c r="E211" s="250" t="str">
        <f>"(sum lns "&amp;B206&amp;" to "&amp;B209&amp;")"</f>
        <v>(sum lns 121 to 124)</v>
      </c>
      <c r="F211" s="339"/>
      <c r="G211" s="279">
        <f>SUM(G206:G209)</f>
        <v>94871984.240510494</v>
      </c>
      <c r="H211" s="69"/>
      <c r="I211" s="277" t="s">
        <v>114</v>
      </c>
      <c r="J211" s="343"/>
      <c r="K211" s="263"/>
      <c r="L211" s="279">
        <f>SUM(L206:L209)</f>
        <v>26519222.581271131</v>
      </c>
      <c r="M211" s="250"/>
      <c r="N211" s="250"/>
      <c r="O211" s="250"/>
    </row>
    <row r="212" spans="2:15">
      <c r="B212" s="251"/>
      <c r="C212" s="252"/>
      <c r="D212" s="247"/>
      <c r="E212" s="250"/>
      <c r="F212" s="250"/>
      <c r="G212" s="250"/>
      <c r="H212" s="250"/>
      <c r="I212" s="264"/>
      <c r="J212" s="324"/>
      <c r="K212" s="250"/>
      <c r="L212" s="250"/>
      <c r="M212" s="250"/>
      <c r="N212" s="250"/>
      <c r="O212" s="250"/>
    </row>
    <row r="213" spans="2:15">
      <c r="B213" s="251">
        <f>+B211+1</f>
        <v>126</v>
      </c>
      <c r="C213" s="252"/>
      <c r="D213" s="310" t="s">
        <v>199</v>
      </c>
      <c r="E213" s="310" t="str">
        <f>"(ln "&amp;B131&amp;" * ln "&amp;B274&amp;")"</f>
        <v>(ln 68 * ln 157)</v>
      </c>
      <c r="F213" s="306"/>
      <c r="G213" s="263">
        <f>+$L274*G131</f>
        <v>530702330.66175187</v>
      </c>
      <c r="H213" s="250"/>
      <c r="I213" s="277"/>
      <c r="J213" s="263"/>
      <c r="K213" s="263"/>
      <c r="L213" s="263">
        <f>+L274*L131</f>
        <v>176628415.39617577</v>
      </c>
      <c r="M213" s="250"/>
      <c r="N213" s="326"/>
      <c r="O213" s="326"/>
    </row>
    <row r="214" spans="2:15">
      <c r="B214" s="251"/>
      <c r="C214" s="252"/>
      <c r="D214" s="310"/>
      <c r="G214" s="263"/>
      <c r="H214" s="263"/>
      <c r="I214" s="277"/>
      <c r="J214" s="277"/>
      <c r="K214" s="263"/>
      <c r="L214" s="263"/>
      <c r="M214" s="250"/>
    </row>
    <row r="215" spans="2:15">
      <c r="B215" s="251">
        <f>+B213+1</f>
        <v>127</v>
      </c>
      <c r="C215" s="252"/>
      <c r="D215" s="344" t="s">
        <v>99</v>
      </c>
      <c r="F215" s="294"/>
      <c r="G215" s="263">
        <f>-'WS D IPP Credits'!C13</f>
        <v>0</v>
      </c>
      <c r="H215" s="263"/>
      <c r="I215" s="313" t="s">
        <v>129</v>
      </c>
      <c r="J215" s="265">
        <v>1</v>
      </c>
      <c r="K215" s="297"/>
      <c r="L215" s="263">
        <f>+J215*G215</f>
        <v>0</v>
      </c>
      <c r="M215" s="296"/>
    </row>
    <row r="216" spans="2:15">
      <c r="B216" s="251"/>
      <c r="C216" s="252"/>
      <c r="D216" s="344"/>
      <c r="F216" s="294"/>
      <c r="G216" s="263"/>
      <c r="H216" s="263"/>
      <c r="I216" s="313"/>
      <c r="J216" s="265"/>
      <c r="K216" s="297"/>
      <c r="L216" s="263"/>
      <c r="M216" s="296"/>
    </row>
    <row r="217" spans="2:15">
      <c r="B217" s="251">
        <f>+B215+1</f>
        <v>128</v>
      </c>
      <c r="C217" s="252"/>
      <c r="D217" s="344" t="str">
        <f>"(Gains) / Losses on Sales of Plant Held for Future Use (Worksheet N, ln "&amp;'WS N - Sale of Plant Held'!A33&amp;", Cols. ("&amp;'WS N - Sale of Plant Held'!O12&amp;" &amp; "&amp;'WS N - Sale of Plant Held'!S12&amp;")"</f>
        <v>(Gains) / Losses on Sales of Plant Held for Future Use (Worksheet N, ln 4, Cols. ((F) &amp; (H))</v>
      </c>
      <c r="F217" s="294"/>
      <c r="G217" s="263">
        <f>+'WS N - Sale of Plant Held'!O33</f>
        <v>0</v>
      </c>
      <c r="H217" s="263"/>
      <c r="I217" s="313"/>
      <c r="J217" s="265"/>
      <c r="K217" s="297"/>
      <c r="L217" s="263">
        <f>'WS N - Sale of Plant Held'!S33</f>
        <v>0</v>
      </c>
      <c r="M217" s="296"/>
    </row>
    <row r="218" spans="2:15">
      <c r="B218" s="251"/>
      <c r="C218" s="252"/>
      <c r="D218" s="344"/>
      <c r="F218" s="294"/>
      <c r="G218" s="263"/>
      <c r="H218" s="263"/>
      <c r="I218" s="313"/>
      <c r="J218" s="265"/>
      <c r="K218" s="297"/>
      <c r="L218" s="263"/>
      <c r="M218" s="296"/>
    </row>
    <row r="219" spans="2:15">
      <c r="B219" s="251">
        <f>+B217+1</f>
        <v>129</v>
      </c>
      <c r="C219" s="252"/>
      <c r="D219" s="344" t="str">
        <f>" Tax Impact on Net Loss / (Gain) on Sales of Plant Held for Future Use (ln "&amp;B217&amp;" * ln"&amp;B198&amp;")"</f>
        <v xml:space="preserve"> Tax Impact on Net Loss / (Gain) on Sales of Plant Held for Future Use (ln 128 * ln114)</v>
      </c>
      <c r="F219" s="294"/>
      <c r="G219" s="263">
        <f>-+G198*G217</f>
        <v>0</v>
      </c>
      <c r="H219" s="263"/>
      <c r="I219" s="313"/>
      <c r="J219" s="265"/>
      <c r="K219" s="297"/>
      <c r="L219" s="263">
        <f>L217*-G198</f>
        <v>0</v>
      </c>
      <c r="M219" s="296"/>
    </row>
    <row r="220" spans="2:15" ht="15.75" thickBot="1">
      <c r="B220" s="251"/>
      <c r="C220" s="252"/>
      <c r="D220" s="247"/>
      <c r="G220" s="298"/>
      <c r="H220" s="345"/>
      <c r="I220" s="277"/>
      <c r="J220" s="277"/>
      <c r="K220" s="263"/>
      <c r="L220" s="298"/>
      <c r="M220" s="250"/>
    </row>
    <row r="221" spans="2:15" ht="15.75" thickBot="1">
      <c r="B221" s="251">
        <f>+B219+1</f>
        <v>130</v>
      </c>
      <c r="C221" s="252"/>
      <c r="D221" s="243" t="s">
        <v>249</v>
      </c>
      <c r="G221" s="346">
        <f>+G215+G213+G211+G194+G185+G176+G217+G219</f>
        <v>1673135125.456646</v>
      </c>
      <c r="L221" s="346">
        <f>+L215+L213+L211+L194+L185+L176+L217+L219</f>
        <v>511062852.97627866</v>
      </c>
      <c r="M221" s="250"/>
    </row>
    <row r="222" spans="2:15" ht="15.75" thickTop="1">
      <c r="B222" s="251"/>
      <c r="C222" s="252"/>
      <c r="D222" s="247" t="str">
        <f>"    (sum lns "&amp;B176&amp;", "&amp;B185&amp;", "&amp;B194&amp;", "&amp;B211&amp;", "&amp;B213&amp;", "&amp;B215&amp;", "&amp;B217&amp;", "&amp;B219&amp;")"</f>
        <v xml:space="preserve">    (sum lns 96, 103, 111, 125, 126, 127, 128, 129)</v>
      </c>
      <c r="F222" s="259"/>
      <c r="M222" s="250"/>
    </row>
    <row r="223" spans="2:15">
      <c r="B223" s="251"/>
      <c r="C223" s="252"/>
      <c r="F223" s="259"/>
      <c r="M223" s="250"/>
    </row>
    <row r="224" spans="2:15">
      <c r="B224" s="251"/>
      <c r="C224" s="252"/>
      <c r="D224" s="247"/>
      <c r="F224" s="316" t="str">
        <f>F134</f>
        <v xml:space="preserve">AEP East Companies </v>
      </c>
      <c r="M224" s="315"/>
    </row>
    <row r="225" spans="2:16">
      <c r="B225" s="251"/>
      <c r="C225" s="252"/>
      <c r="D225" s="247"/>
      <c r="F225" s="316" t="str">
        <f>F135</f>
        <v>Transmission Cost of Service Formula Rate</v>
      </c>
      <c r="M225" s="315"/>
    </row>
    <row r="226" spans="2:16">
      <c r="B226" s="243"/>
      <c r="C226" s="252"/>
      <c r="F226" s="316" t="str">
        <f>F136</f>
        <v>Utilizing  Actual/Projected FERC Form 1 Data</v>
      </c>
      <c r="M226" s="282"/>
    </row>
    <row r="227" spans="2:16">
      <c r="B227" s="251"/>
      <c r="C227" s="252"/>
      <c r="E227" s="316"/>
      <c r="F227" s="316"/>
      <c r="G227" s="316"/>
      <c r="H227" s="316"/>
      <c r="I227" s="316"/>
      <c r="J227" s="316"/>
      <c r="K227" s="316"/>
      <c r="M227" s="250"/>
    </row>
    <row r="228" spans="2:16">
      <c r="B228" s="251"/>
      <c r="C228" s="252"/>
      <c r="E228" s="247"/>
      <c r="F228" s="316" t="str">
        <f>F138</f>
        <v>Ohio Power Company</v>
      </c>
      <c r="G228" s="247"/>
      <c r="H228" s="247"/>
      <c r="I228" s="247"/>
      <c r="J228" s="247"/>
      <c r="K228" s="247"/>
      <c r="L228" s="247"/>
      <c r="M228" s="247"/>
    </row>
    <row r="229" spans="2:16">
      <c r="B229" s="251"/>
      <c r="C229" s="252"/>
      <c r="E229" s="247"/>
      <c r="F229" s="316"/>
      <c r="G229" s="247"/>
      <c r="H229" s="247"/>
      <c r="I229" s="247"/>
      <c r="J229" s="247"/>
      <c r="K229" s="247"/>
      <c r="L229" s="247"/>
      <c r="M229" s="247"/>
    </row>
    <row r="230" spans="2:16" ht="15.75">
      <c r="B230" s="251"/>
      <c r="C230" s="252"/>
      <c r="F230" s="317" t="s">
        <v>40</v>
      </c>
      <c r="H230" s="247"/>
      <c r="I230" s="247"/>
      <c r="J230" s="247"/>
      <c r="K230" s="247"/>
      <c r="L230" s="247"/>
      <c r="M230" s="250"/>
    </row>
    <row r="231" spans="2:16" ht="15.75">
      <c r="B231" s="251"/>
      <c r="C231" s="252"/>
      <c r="D231" s="347"/>
      <c r="E231" s="247"/>
      <c r="F231" s="247"/>
      <c r="G231" s="247"/>
      <c r="H231" s="247"/>
      <c r="I231" s="247"/>
      <c r="J231" s="247"/>
      <c r="K231" s="247"/>
      <c r="L231" s="247"/>
      <c r="M231" s="250"/>
    </row>
    <row r="232" spans="2:16" ht="15.75">
      <c r="B232" s="251" t="s">
        <v>116</v>
      </c>
      <c r="C232" s="252"/>
      <c r="D232" s="347"/>
      <c r="E232" s="247"/>
      <c r="F232" s="247"/>
      <c r="G232" s="247"/>
      <c r="H232" s="247"/>
      <c r="I232" s="247"/>
      <c r="J232" s="247"/>
      <c r="K232" s="247"/>
      <c r="L232" s="247"/>
      <c r="M232" s="250"/>
    </row>
    <row r="233" spans="2:16" ht="15.75" thickBot="1">
      <c r="B233" s="257" t="s">
        <v>117</v>
      </c>
      <c r="C233" s="252"/>
      <c r="D233" s="247" t="s">
        <v>221</v>
      </c>
      <c r="E233" s="247"/>
      <c r="F233" s="247"/>
      <c r="G233" s="247"/>
      <c r="H233" s="247"/>
      <c r="I233" s="247"/>
      <c r="J233" s="247"/>
      <c r="M233" s="250"/>
      <c r="P233"/>
    </row>
    <row r="234" spans="2:16">
      <c r="B234" s="251">
        <f>+B221+1</f>
        <v>131</v>
      </c>
      <c r="C234" s="252"/>
      <c r="D234" s="247" t="s">
        <v>166</v>
      </c>
      <c r="E234" s="348" t="str">
        <f>"(ln "&amp;B68&amp;")"</f>
        <v>(ln 21)</v>
      </c>
      <c r="F234" s="247"/>
      <c r="H234" s="250"/>
      <c r="I234" s="250"/>
      <c r="J234" s="250"/>
      <c r="K234" s="250"/>
      <c r="L234" s="263">
        <f>+G68</f>
        <v>3771355810.1053853</v>
      </c>
      <c r="M234" s="250"/>
      <c r="P234"/>
    </row>
    <row r="235" spans="2:16">
      <c r="B235" s="251">
        <f>+B234+1</f>
        <v>132</v>
      </c>
      <c r="C235" s="252"/>
      <c r="D235" s="247" t="str">
        <f>"  Less transmission plant excluded from PJM Tariff  (Worksheet A, ln "&amp;'WS A - RB Support'!A62&amp;", Col. "&amp;'WS A - RB Support'!E47&amp;") (Note P)"</f>
        <v xml:space="preserve">  Less transmission plant excluded from PJM Tariff  (Worksheet A, ln 42, Col. (d)) (Note P)</v>
      </c>
      <c r="G235" s="316"/>
      <c r="L235" s="608">
        <f>'WS A - RB Support'!E62</f>
        <v>-204869.84152307714</v>
      </c>
      <c r="M235" s="250"/>
      <c r="P235"/>
    </row>
    <row r="236" spans="2:16" ht="15.75" thickBot="1">
      <c r="B236" s="251">
        <f>+B235+1</f>
        <v>133</v>
      </c>
      <c r="C236" s="252"/>
      <c r="D236" s="247" t="str">
        <f>"  Less transmission plant included in OATT Ancillary Services (Worksheet A, ln "&amp;'WS A - RB Support'!A62&amp;", Col. "&amp;'WS A - RB Support'!C47&amp;")  (Note Q)"</f>
        <v xml:space="preserve">  Less transmission plant included in OATT Ancillary Services (Worksheet A, ln 42, Col. (b))  (Note Q)</v>
      </c>
      <c r="E236" s="247"/>
      <c r="F236" s="247"/>
      <c r="G236" s="264"/>
      <c r="H236" s="250"/>
      <c r="I236" s="250"/>
      <c r="J236" s="264"/>
      <c r="K236" s="250"/>
      <c r="L236" s="349">
        <f>'WS A - RB Support'!C62</f>
        <v>0</v>
      </c>
      <c r="M236" s="250"/>
      <c r="P236"/>
    </row>
    <row r="237" spans="2:16">
      <c r="B237" s="251">
        <f>+B236+1</f>
        <v>134</v>
      </c>
      <c r="C237" s="252"/>
      <c r="D237" s="247" t="s">
        <v>222</v>
      </c>
      <c r="E237" s="261" t="str">
        <f>"(ln "&amp;B234&amp;" - ln "&amp;B235&amp;" - ln "&amp;B236&amp;")"</f>
        <v>(ln 131 - ln 132 - ln 133)</v>
      </c>
      <c r="F237" s="247"/>
      <c r="H237" s="250"/>
      <c r="I237" s="250"/>
      <c r="J237" s="264"/>
      <c r="K237" s="250"/>
      <c r="L237" s="263">
        <f>L234-L235-L236</f>
        <v>3771560679.9469085</v>
      </c>
      <c r="M237" s="250"/>
      <c r="P237"/>
    </row>
    <row r="238" spans="2:16">
      <c r="B238" s="251"/>
      <c r="C238" s="252"/>
      <c r="E238" s="247"/>
      <c r="F238" s="247"/>
      <c r="G238" s="264"/>
      <c r="H238" s="250"/>
      <c r="I238" s="250"/>
      <c r="J238" s="264"/>
      <c r="K238" s="250"/>
      <c r="M238" s="250"/>
      <c r="P238"/>
    </row>
    <row r="239" spans="2:16" ht="15.75">
      <c r="B239" s="251">
        <f>+B237+1</f>
        <v>135</v>
      </c>
      <c r="C239" s="252"/>
      <c r="D239" s="247" t="s">
        <v>223</v>
      </c>
      <c r="E239" s="252" t="str">
        <f>"(ln "&amp;B237&amp;" / ln "&amp;B234&amp;")"</f>
        <v>(ln 134 / ln 131)</v>
      </c>
      <c r="F239" s="255"/>
      <c r="H239" s="255"/>
      <c r="I239" s="253"/>
      <c r="J239" s="253"/>
      <c r="K239" s="291" t="s">
        <v>143</v>
      </c>
      <c r="L239" s="350">
        <f>ROUND(IF(L234&gt;0,L237/L234,0),2)</f>
        <v>1</v>
      </c>
      <c r="M239" s="250"/>
      <c r="P239"/>
    </row>
    <row r="240" spans="2:16" ht="15.75">
      <c r="B240" s="251"/>
      <c r="C240" s="252"/>
      <c r="D240" s="347"/>
      <c r="E240" s="247"/>
      <c r="F240" s="247"/>
      <c r="G240" s="250"/>
      <c r="H240" s="247"/>
      <c r="I240" s="252"/>
      <c r="J240" s="247"/>
      <c r="K240" s="247"/>
      <c r="L240" s="247"/>
      <c r="M240" s="250"/>
    </row>
    <row r="241" spans="2:13">
      <c r="B241" s="251" t="s">
        <v>1329</v>
      </c>
      <c r="C241" s="252"/>
      <c r="D241" s="247" t="s">
        <v>1330</v>
      </c>
      <c r="E241" s="247"/>
      <c r="F241" s="247"/>
      <c r="G241" s="250"/>
      <c r="H241" s="247"/>
      <c r="I241" s="252"/>
      <c r="J241" s="247"/>
      <c r="K241" s="247"/>
      <c r="L241" s="247"/>
      <c r="M241" s="250"/>
    </row>
    <row r="242" spans="2:13" ht="15.75">
      <c r="B242" s="251" t="s">
        <v>1331</v>
      </c>
      <c r="C242" s="252"/>
      <c r="D242" s="347" t="s">
        <v>1332</v>
      </c>
      <c r="E242" s="247" t="s">
        <v>1333</v>
      </c>
      <c r="F242" s="247"/>
      <c r="G242" s="250"/>
      <c r="H242" s="247"/>
      <c r="I242" s="252"/>
      <c r="J242" s="247"/>
      <c r="K242" s="247"/>
      <c r="L242" s="263">
        <f>G75</f>
        <v>41774.298461538463</v>
      </c>
      <c r="M242" s="250"/>
    </row>
    <row r="243" spans="2:13" ht="15.75">
      <c r="B243" s="251" t="s">
        <v>1334</v>
      </c>
      <c r="C243" s="252"/>
      <c r="D243" s="347" t="s">
        <v>1335</v>
      </c>
      <c r="E243" s="250" t="s">
        <v>1336</v>
      </c>
      <c r="F243" s="247"/>
      <c r="G243" s="250"/>
      <c r="H243" s="247"/>
      <c r="I243" s="252"/>
      <c r="J243" s="247"/>
      <c r="K243" s="247"/>
      <c r="L243" s="247">
        <f>'WS A - RB Support'!G62</f>
        <v>41774.298461538463</v>
      </c>
      <c r="M243" s="250"/>
    </row>
    <row r="244" spans="2:13" ht="15.75">
      <c r="B244" s="251" t="s">
        <v>1337</v>
      </c>
      <c r="C244" s="252"/>
      <c r="D244" s="347" t="s">
        <v>1338</v>
      </c>
      <c r="E244" s="247" t="s">
        <v>1339</v>
      </c>
      <c r="F244" s="247"/>
      <c r="G244" s="250"/>
      <c r="H244" s="247"/>
      <c r="I244" s="252"/>
      <c r="J244" s="247"/>
      <c r="K244" s="247"/>
      <c r="L244" s="263">
        <f>L242-L243</f>
        <v>0</v>
      </c>
      <c r="M244" s="250"/>
    </row>
    <row r="245" spans="2:13" ht="15.75">
      <c r="B245" s="251"/>
      <c r="C245" s="252"/>
      <c r="D245" s="347"/>
      <c r="E245" s="247"/>
      <c r="F245" s="247"/>
      <c r="G245" s="250"/>
      <c r="H245" s="247"/>
      <c r="I245" s="252"/>
      <c r="J245" s="247"/>
      <c r="K245" s="247"/>
      <c r="L245" s="247"/>
      <c r="M245" s="250"/>
    </row>
    <row r="246" spans="2:13" ht="15.75">
      <c r="B246" s="251" t="s">
        <v>1340</v>
      </c>
      <c r="C246" s="252"/>
      <c r="D246" s="247" t="s">
        <v>1341</v>
      </c>
      <c r="E246" s="247" t="s">
        <v>1342</v>
      </c>
      <c r="F246" s="247"/>
      <c r="G246" s="250"/>
      <c r="H246" s="247"/>
      <c r="I246" s="252"/>
      <c r="J246" s="247"/>
      <c r="K246" s="247" t="s">
        <v>1343</v>
      </c>
      <c r="L246" s="347">
        <f>IFERROR(L244/L242,1)</f>
        <v>0</v>
      </c>
      <c r="M246" s="250"/>
    </row>
    <row r="247" spans="2:13" ht="15.75">
      <c r="B247" s="251"/>
      <c r="C247" s="252"/>
      <c r="D247" s="347"/>
      <c r="E247" s="247"/>
      <c r="F247" s="247"/>
      <c r="G247" s="250"/>
      <c r="H247" s="247"/>
      <c r="I247" s="252"/>
      <c r="J247" s="247"/>
      <c r="K247" s="247"/>
      <c r="L247" s="247"/>
      <c r="M247" s="250"/>
    </row>
    <row r="248" spans="2:13" ht="45">
      <c r="B248" s="251">
        <f>B239+1</f>
        <v>136</v>
      </c>
      <c r="C248" s="252"/>
      <c r="D248" s="247" t="s">
        <v>41</v>
      </c>
      <c r="E248" s="264" t="s">
        <v>343</v>
      </c>
      <c r="F248" s="264" t="s">
        <v>184</v>
      </c>
      <c r="G248" s="351" t="s">
        <v>214</v>
      </c>
      <c r="H248" s="316" t="s">
        <v>118</v>
      </c>
      <c r="I248" s="264"/>
      <c r="J248" s="250"/>
      <c r="K248" s="250"/>
      <c r="L248" s="250"/>
      <c r="M248" s="250"/>
    </row>
    <row r="249" spans="2:13">
      <c r="B249" s="251">
        <f t="shared" ref="B249:B255" si="12">+B248+1</f>
        <v>137</v>
      </c>
      <c r="C249" s="252"/>
      <c r="D249" s="247" t="s">
        <v>126</v>
      </c>
      <c r="E249" s="250" t="s">
        <v>431</v>
      </c>
      <c r="F249" s="610">
        <v>35883</v>
      </c>
      <c r="G249" s="610">
        <v>20516</v>
      </c>
      <c r="H249" s="292">
        <f>+F249+G249</f>
        <v>56399</v>
      </c>
      <c r="I249" s="264" t="s">
        <v>127</v>
      </c>
      <c r="J249" s="265">
        <v>0</v>
      </c>
      <c r="K249" s="352"/>
      <c r="L249" s="263">
        <f>(F249+G249)*J249</f>
        <v>0</v>
      </c>
      <c r="M249" s="250"/>
    </row>
    <row r="250" spans="2:13">
      <c r="B250" s="251">
        <f t="shared" si="12"/>
        <v>138</v>
      </c>
      <c r="C250" s="252"/>
      <c r="D250" s="247" t="s">
        <v>128</v>
      </c>
      <c r="E250" s="250" t="s">
        <v>12</v>
      </c>
      <c r="F250" s="610">
        <v>238551</v>
      </c>
      <c r="G250" s="610">
        <v>17645004.604348458</v>
      </c>
      <c r="H250" s="292">
        <f>+F250+G250</f>
        <v>17883555.604348458</v>
      </c>
      <c r="I250" s="252" t="s">
        <v>120</v>
      </c>
      <c r="J250" s="265">
        <f>L239</f>
        <v>1</v>
      </c>
      <c r="K250" s="352"/>
      <c r="L250" s="263">
        <f>(F250+G250)*J250</f>
        <v>17883555.604348458</v>
      </c>
      <c r="M250" s="250"/>
    </row>
    <row r="251" spans="2:13">
      <c r="B251" s="251">
        <f t="shared" si="12"/>
        <v>139</v>
      </c>
      <c r="C251" s="252"/>
      <c r="D251" s="247" t="s">
        <v>226</v>
      </c>
      <c r="E251" s="250" t="s">
        <v>466</v>
      </c>
      <c r="F251" s="610">
        <v>0</v>
      </c>
      <c r="G251" s="610">
        <v>0</v>
      </c>
      <c r="H251" s="292">
        <f t="shared" ref="H251:H253" si="13">+F251+G251</f>
        <v>0</v>
      </c>
      <c r="I251" s="264" t="s">
        <v>127</v>
      </c>
      <c r="J251" s="265">
        <v>0</v>
      </c>
      <c r="K251" s="352"/>
      <c r="L251" s="263">
        <f>(F251+G251)*J251</f>
        <v>0</v>
      </c>
      <c r="M251" s="250"/>
    </row>
    <row r="252" spans="2:13">
      <c r="B252" s="251" t="s">
        <v>1344</v>
      </c>
      <c r="C252" s="252"/>
      <c r="D252" s="247" t="s">
        <v>1326</v>
      </c>
      <c r="E252" s="250" t="s">
        <v>1345</v>
      </c>
      <c r="F252" s="1186">
        <v>0</v>
      </c>
      <c r="G252" s="1186">
        <v>0</v>
      </c>
      <c r="H252" s="292">
        <f t="shared" si="13"/>
        <v>0</v>
      </c>
      <c r="I252" s="264" t="s">
        <v>1328</v>
      </c>
      <c r="J252" s="265">
        <f>L246</f>
        <v>0</v>
      </c>
      <c r="K252" s="352"/>
      <c r="L252" s="263">
        <f t="shared" ref="L252" si="14">(F252+G252)*J252</f>
        <v>0</v>
      </c>
      <c r="M252" s="250"/>
    </row>
    <row r="253" spans="2:13">
      <c r="B253" s="251">
        <f>+B251+1</f>
        <v>140</v>
      </c>
      <c r="C253" s="252"/>
      <c r="D253" s="247" t="s">
        <v>130</v>
      </c>
      <c r="E253" s="250" t="s">
        <v>429</v>
      </c>
      <c r="F253" s="610">
        <v>64984970</v>
      </c>
      <c r="G253" s="610">
        <v>11005899.784396568</v>
      </c>
      <c r="H253" s="292">
        <f t="shared" si="13"/>
        <v>75990869.784396574</v>
      </c>
      <c r="I253" s="264" t="s">
        <v>127</v>
      </c>
      <c r="J253" s="265">
        <v>0</v>
      </c>
      <c r="K253" s="352"/>
      <c r="L253" s="263">
        <f>(F253+G253)*J253</f>
        <v>0</v>
      </c>
      <c r="M253" s="250"/>
    </row>
    <row r="254" spans="2:13" ht="15.75" thickBot="1">
      <c r="B254" s="251">
        <f t="shared" si="12"/>
        <v>141</v>
      </c>
      <c r="C254" s="252"/>
      <c r="D254" s="247" t="s">
        <v>201</v>
      </c>
      <c r="E254" s="250" t="s">
        <v>430</v>
      </c>
      <c r="F254" s="611">
        <v>8484139</v>
      </c>
      <c r="G254" s="611">
        <v>16016950</v>
      </c>
      <c r="H254" s="353">
        <f>+F254+G254</f>
        <v>24501089</v>
      </c>
      <c r="I254" s="264" t="s">
        <v>127</v>
      </c>
      <c r="J254" s="265">
        <v>0</v>
      </c>
      <c r="K254" s="352"/>
      <c r="L254" s="298">
        <f>(F254+G254)*J254</f>
        <v>0</v>
      </c>
      <c r="M254" s="250"/>
    </row>
    <row r="255" spans="2:13" ht="15.75">
      <c r="B255" s="251">
        <f t="shared" si="12"/>
        <v>142</v>
      </c>
      <c r="C255" s="252"/>
      <c r="D255" s="247" t="s">
        <v>118</v>
      </c>
      <c r="E255" s="247" t="str">
        <f>"(sum lns "&amp;B249&amp;" to "&amp;B254&amp;")"</f>
        <v>(sum lns 137 to 141)</v>
      </c>
      <c r="F255" s="250">
        <f>SUM(F249:F254)</f>
        <v>73743543</v>
      </c>
      <c r="G255" s="250">
        <f>SUM(G249:G254)</f>
        <v>44688370.388745025</v>
      </c>
      <c r="H255" s="250">
        <f>SUM(H249:H254)</f>
        <v>118431913.38874504</v>
      </c>
      <c r="I255" s="264"/>
      <c r="J255" s="250"/>
      <c r="K255" s="250"/>
      <c r="L255" s="263">
        <f>SUM(L249:L254)</f>
        <v>17883555.604348458</v>
      </c>
      <c r="M255" s="286"/>
    </row>
    <row r="256" spans="2:13">
      <c r="B256" s="251"/>
      <c r="C256" s="252"/>
      <c r="D256" s="247" t="s">
        <v>114</v>
      </c>
      <c r="E256" s="250" t="s">
        <v>114</v>
      </c>
      <c r="F256" s="250"/>
      <c r="H256" s="250"/>
      <c r="I256" s="316"/>
    </row>
    <row r="257" spans="2:21" ht="15.75">
      <c r="B257" s="251">
        <f>B255+1</f>
        <v>143</v>
      </c>
      <c r="C257" s="252"/>
      <c r="D257" s="247" t="s">
        <v>42</v>
      </c>
      <c r="E257" s="250"/>
      <c r="F257" s="250"/>
      <c r="G257" s="250"/>
      <c r="H257" s="250"/>
      <c r="I257" s="316"/>
      <c r="K257" s="354" t="s">
        <v>43</v>
      </c>
      <c r="L257" s="355">
        <f>L255/(F255+G255)</f>
        <v>0.15100284283719081</v>
      </c>
    </row>
    <row r="258" spans="2:21">
      <c r="B258" s="251"/>
      <c r="C258" s="252"/>
      <c r="D258" s="247"/>
      <c r="E258" s="250"/>
      <c r="F258" s="250"/>
      <c r="G258" s="250"/>
      <c r="H258" s="250"/>
      <c r="I258" s="264"/>
      <c r="J258" s="250"/>
      <c r="K258" s="250"/>
      <c r="L258" s="250"/>
      <c r="M258" s="250"/>
    </row>
    <row r="259" spans="2:21" ht="15.75">
      <c r="B259" s="251"/>
      <c r="C259" s="252"/>
      <c r="D259" s="247"/>
      <c r="E259" s="259"/>
      <c r="F259" s="250"/>
      <c r="H259" s="250"/>
      <c r="I259" s="250"/>
      <c r="J259" s="250"/>
      <c r="K259" s="291"/>
      <c r="L259" s="356"/>
      <c r="M259" s="250"/>
    </row>
    <row r="260" spans="2:21" ht="15.75" thickBot="1">
      <c r="B260" s="251">
        <f>+B257+1</f>
        <v>144</v>
      </c>
      <c r="C260" s="252"/>
      <c r="D260" s="247" t="s">
        <v>198</v>
      </c>
      <c r="E260" s="250"/>
      <c r="F260" s="250"/>
      <c r="G260" s="250"/>
      <c r="H260" s="250"/>
      <c r="I260" s="250"/>
      <c r="J260" s="250"/>
      <c r="K260" s="250"/>
      <c r="L260" s="357" t="s">
        <v>144</v>
      </c>
      <c r="M260" s="250"/>
    </row>
    <row r="261" spans="2:21">
      <c r="B261" s="251">
        <f t="shared" ref="B261:B268" si="15">+B260+1</f>
        <v>145</v>
      </c>
      <c r="C261" s="252"/>
      <c r="D261" s="250" t="s">
        <v>219</v>
      </c>
      <c r="E261" s="243" t="str">
        <f>"(Worksheet M, ln. "&amp;'WS M - Cost of Capital'!A56&amp;", col. "&amp;'WS M - Cost of Capital'!E47&amp;")"</f>
        <v>(Worksheet M, ln. 37, col. (d))</v>
      </c>
      <c r="F261" s="250"/>
      <c r="G261" s="250"/>
      <c r="H261" s="250"/>
      <c r="I261" s="250"/>
      <c r="J261" s="250"/>
      <c r="K261" s="250"/>
      <c r="L261" s="263">
        <f>'WS M - Cost of Capital'!E56</f>
        <v>158751303.41</v>
      </c>
      <c r="M261" s="250"/>
    </row>
    <row r="262" spans="2:21">
      <c r="B262" s="251">
        <f t="shared" si="15"/>
        <v>146</v>
      </c>
      <c r="C262" s="252"/>
      <c r="D262" s="250" t="s">
        <v>220</v>
      </c>
      <c r="E262" s="243" t="str">
        <f>"(Worksheet M, ln. "&amp;'WS M - Cost of Capital'!A103&amp;")"</f>
        <v>(Worksheet M, ln. 71)</v>
      </c>
      <c r="F262" s="250"/>
      <c r="G262" s="250"/>
      <c r="H262" s="250"/>
      <c r="I262" s="250"/>
      <c r="J262" s="250"/>
      <c r="K262" s="250"/>
      <c r="L262" s="263">
        <f>'WS M - Cost of Capital'!E103</f>
        <v>0</v>
      </c>
      <c r="M262" s="250"/>
    </row>
    <row r="263" spans="2:21">
      <c r="B263" s="251">
        <f t="shared" si="15"/>
        <v>147</v>
      </c>
      <c r="C263" s="252"/>
      <c r="D263" s="358" t="s">
        <v>242</v>
      </c>
      <c r="E263" s="250"/>
      <c r="F263" s="250"/>
      <c r="G263" s="250"/>
      <c r="H263"/>
      <c r="I263" s="250"/>
      <c r="J263" s="250"/>
      <c r="K263" s="250"/>
      <c r="L263" s="263"/>
      <c r="M263" s="250"/>
    </row>
    <row r="264" spans="2:21">
      <c r="B264" s="251">
        <f t="shared" si="15"/>
        <v>148</v>
      </c>
      <c r="C264" s="252"/>
      <c r="D264" s="250" t="s">
        <v>243</v>
      </c>
      <c r="E264" s="372" t="str">
        <f>"(Worksheet M, ln. "&amp;'WS M - Cost of Capital'!A23&amp;", col. "&amp;'WS M - Cost of Capital'!C8&amp;")"</f>
        <v>(Worksheet M, ln. 14, col. (b))</v>
      </c>
      <c r="F264" s="250"/>
      <c r="G264" s="247"/>
      <c r="H264" s="69"/>
      <c r="I264" s="250"/>
      <c r="J264" s="250"/>
      <c r="K264" s="250"/>
      <c r="L264" s="263">
        <f>'WS M - Cost of Capital'!C23</f>
        <v>4002426346.1588469</v>
      </c>
      <c r="M264" s="250"/>
    </row>
    <row r="265" spans="2:21">
      <c r="B265" s="251">
        <f t="shared" si="15"/>
        <v>149</v>
      </c>
      <c r="C265" s="252"/>
      <c r="D265" s="250" t="s">
        <v>368</v>
      </c>
      <c r="E265" s="372" t="str">
        <f>"(Worksheet M, ln. "&amp;'WS M - Cost of Capital'!A23&amp;", col. "&amp;'WS M - Cost of Capital'!D8&amp;")"</f>
        <v>(Worksheet M, ln. 14, col. (c))</v>
      </c>
      <c r="F265" s="250"/>
      <c r="G265" s="250"/>
      <c r="H265" s="69"/>
      <c r="I265" s="250"/>
      <c r="J265" s="250"/>
      <c r="K265" s="250"/>
      <c r="L265" s="292">
        <f>'WS M - Cost of Capital'!D23</f>
        <v>0</v>
      </c>
      <c r="M265" s="250"/>
    </row>
    <row r="266" spans="2:21">
      <c r="B266" s="251">
        <f>+B265+1</f>
        <v>150</v>
      </c>
      <c r="C266" s="252"/>
      <c r="D266" s="250" t="s">
        <v>361</v>
      </c>
      <c r="E266" s="372" t="str">
        <f>"(Worksheet M, ln. "&amp;'WS M - Cost of Capital'!A23&amp;", col. "&amp;'WS M - Cost of Capital'!E8&amp;")"</f>
        <v>(Worksheet M, ln. 14, col. (d))</v>
      </c>
      <c r="F266" s="250"/>
      <c r="G266" s="250"/>
      <c r="H266" s="69"/>
      <c r="I266" s="250"/>
      <c r="J266" s="250"/>
      <c r="K266" s="250"/>
      <c r="L266" s="292">
        <f>'WS M - Cost of Capital'!E23</f>
        <v>5555176.062307694</v>
      </c>
      <c r="M266" s="250"/>
    </row>
    <row r="267" spans="2:21" ht="15.75" thickBot="1">
      <c r="B267" s="251">
        <f t="shared" si="15"/>
        <v>151</v>
      </c>
      <c r="C267" s="252"/>
      <c r="D267" s="250" t="s">
        <v>367</v>
      </c>
      <c r="E267" s="372" t="str">
        <f>"(Worksheet M, ln. "&amp;'WS M - Cost of Capital'!A23&amp;", col. "&amp;'WS M - Cost of Capital'!F8&amp;")"</f>
        <v>(Worksheet M, ln. 14, col. (e))</v>
      </c>
      <c r="F267" s="250"/>
      <c r="G267" s="250"/>
      <c r="H267" s="69"/>
      <c r="I267" s="250"/>
      <c r="J267" s="311"/>
      <c r="K267" s="250"/>
      <c r="L267" s="353">
        <f>'WS M - Cost of Capital'!F23</f>
        <v>0</v>
      </c>
      <c r="M267" s="250"/>
    </row>
    <row r="268" spans="2:21">
      <c r="B268" s="251">
        <f t="shared" si="15"/>
        <v>152</v>
      </c>
      <c r="C268" s="252"/>
      <c r="D268" s="243" t="s">
        <v>244</v>
      </c>
      <c r="E268" s="250" t="str">
        <f>"(ln "&amp;B264&amp;" - ln "&amp;B265&amp;" - ln "&amp;B266&amp;" - ln "&amp;B267&amp;")"</f>
        <v>(ln 148 - ln 149 - ln 150 - ln 151)</v>
      </c>
      <c r="F268" s="259"/>
      <c r="H268" s="247"/>
      <c r="I268" s="247"/>
      <c r="J268" s="247"/>
      <c r="K268" s="247"/>
      <c r="L268" s="263">
        <f>+L264-L265-L266-L267</f>
        <v>3996871170.096539</v>
      </c>
      <c r="M268" s="250"/>
    </row>
    <row r="269" spans="2:21" ht="15.75">
      <c r="B269" s="251"/>
      <c r="C269" s="252"/>
      <c r="D269" s="247"/>
      <c r="E269" s="250"/>
      <c r="F269" s="250"/>
      <c r="G269" s="318"/>
      <c r="H269" s="1223" t="s">
        <v>947</v>
      </c>
      <c r="I269" s="1223"/>
      <c r="J269" s="359" t="s">
        <v>145</v>
      </c>
      <c r="K269" s="250"/>
      <c r="L269" s="250"/>
      <c r="M269" s="250"/>
    </row>
    <row r="270" spans="2:21" ht="15.75" thickBot="1">
      <c r="B270" s="251">
        <f>+B268+1</f>
        <v>153</v>
      </c>
      <c r="C270" s="252"/>
      <c r="D270" s="247"/>
      <c r="F270" s="250"/>
      <c r="G270" s="258" t="s">
        <v>144</v>
      </c>
      <c r="H270" s="258" t="s">
        <v>949</v>
      </c>
      <c r="I270" s="357" t="s">
        <v>948</v>
      </c>
      <c r="J270" s="360" t="s">
        <v>427</v>
      </c>
      <c r="K270" s="250"/>
      <c r="L270" s="258" t="s">
        <v>147</v>
      </c>
      <c r="M270" s="250"/>
      <c r="N270" s="247"/>
      <c r="O270" s="247"/>
      <c r="P270" s="247"/>
      <c r="Q270" s="247"/>
      <c r="R270" s="247"/>
      <c r="S270" s="247"/>
      <c r="T270" s="247"/>
      <c r="U270" s="247"/>
    </row>
    <row r="271" spans="2:21">
      <c r="B271" s="251">
        <f>+B270+1</f>
        <v>154</v>
      </c>
      <c r="C271" s="252"/>
      <c r="D271" s="243" t="str">
        <f>"  Long Term Debt  (Note T) Worksheet M, ln "&amp;'WS M - Cost of Capital'!A42&amp;", col. (g), ln "&amp;'WS M - Cost of Capital'!A58&amp;", col. "&amp;'WS M - Cost of Capital'!E47&amp;")"</f>
        <v xml:space="preserve">  Long Term Debt  (Note T) Worksheet M, ln 28, col. (g), ln 38, col. (d))</v>
      </c>
      <c r="F271" s="250"/>
      <c r="G271" s="263">
        <f>'WS M - Cost of Capital'!H42</f>
        <v>3750000000</v>
      </c>
      <c r="H271" s="273">
        <f>IF($G$274&gt;0,G271/$G$274,0)</f>
        <v>0.48406639502090348</v>
      </c>
      <c r="I271" s="273">
        <f>IF(H273&gt;E276,1-I272-I273,H271)</f>
        <v>0.48406639502090348</v>
      </c>
      <c r="J271" s="311">
        <f>'WS M - Cost of Capital'!E58</f>
        <v>4.2333680909333329E-2</v>
      </c>
      <c r="L271" s="362">
        <f>I271*J271</f>
        <v>2.0492312305746229E-2</v>
      </c>
      <c r="M271" s="363"/>
      <c r="N271" s="247"/>
      <c r="O271" s="247"/>
      <c r="P271" s="247"/>
      <c r="Q271" s="247"/>
      <c r="R271" s="247"/>
      <c r="S271" s="247"/>
      <c r="T271" s="247"/>
      <c r="U271" s="247"/>
    </row>
    <row r="272" spans="2:21" ht="15.75" thickBot="1">
      <c r="B272" s="251">
        <f>+B271+1</f>
        <v>155</v>
      </c>
      <c r="C272" s="252"/>
      <c r="D272" s="247" t="str">
        <f>"  Preferred Stock (ln "&amp;B265&amp;")"</f>
        <v xml:space="preserve">  Preferred Stock (ln 149)</v>
      </c>
      <c r="G272" s="263">
        <f>+L265</f>
        <v>0</v>
      </c>
      <c r="H272" s="273">
        <f>IF($G$274&gt;0,G272/$G$274,0)</f>
        <v>0</v>
      </c>
      <c r="I272" s="273">
        <f>H272</f>
        <v>0</v>
      </c>
      <c r="J272" s="361">
        <f>IF(G272&gt;0,L262/G272,0)</f>
        <v>0</v>
      </c>
      <c r="L272" s="364">
        <f>I272*J272</f>
        <v>0</v>
      </c>
      <c r="M272" s="250"/>
    </row>
    <row r="273" spans="2:21" ht="15.75" thickBot="1">
      <c r="B273" s="251">
        <f>+B272+1</f>
        <v>156</v>
      </c>
      <c r="C273" s="252"/>
      <c r="D273" s="247" t="str">
        <f>"  Common Stock (ln "&amp;B268&amp;")"</f>
        <v xml:space="preserve">  Common Stock (ln 152)</v>
      </c>
      <c r="G273" s="298">
        <f>+L268</f>
        <v>3996871170.096539</v>
      </c>
      <c r="H273" s="971">
        <f>IF($G$274&gt;0,G273/$G$274,0)</f>
        <v>0.51593360497909657</v>
      </c>
      <c r="I273" s="273">
        <f>IF(H273&gt;E276,E276,H273)</f>
        <v>0.51593360497909657</v>
      </c>
      <c r="J273" s="612">
        <v>9.8500000000000004E-2</v>
      </c>
      <c r="L273" s="365">
        <f>I273*J273</f>
        <v>5.0819460090441013E-2</v>
      </c>
      <c r="M273" s="250"/>
    </row>
    <row r="274" spans="2:21" ht="15.75">
      <c r="B274" s="251">
        <f>+B273+1</f>
        <v>157</v>
      </c>
      <c r="C274" s="252"/>
      <c r="D274" s="247" t="str">
        <f>" Total (Sum lns "&amp;B271&amp;" to "&amp;B273&amp;")"</f>
        <v xml:space="preserve"> Total (Sum lns 154 to 156)</v>
      </c>
      <c r="G274" s="263">
        <f>G273+G272+G271</f>
        <v>7746871170.0965385</v>
      </c>
      <c r="I274" s="250"/>
      <c r="J274" s="366"/>
      <c r="K274" s="308" t="s">
        <v>25</v>
      </c>
      <c r="L274" s="367">
        <f>SUM(L271:L273)</f>
        <v>7.1311772396187245E-2</v>
      </c>
      <c r="M274" s="368"/>
    </row>
    <row r="275" spans="2:21" ht="15.75">
      <c r="B275" s="251"/>
      <c r="C275" s="252"/>
      <c r="D275" s="247"/>
      <c r="G275" s="263"/>
      <c r="I275" s="250"/>
      <c r="J275" s="366"/>
      <c r="K275" s="308"/>
      <c r="L275" s="367"/>
      <c r="M275" s="368"/>
    </row>
    <row r="276" spans="2:21" ht="15.75">
      <c r="B276" s="251">
        <f>B274+1</f>
        <v>158</v>
      </c>
      <c r="C276" s="2"/>
      <c r="D276" s="2" t="s">
        <v>946</v>
      </c>
      <c r="E276" s="972">
        <v>0.55000000000000004</v>
      </c>
      <c r="G276" s="263"/>
      <c r="I276" s="250"/>
      <c r="J276" s="366"/>
      <c r="K276" s="308"/>
      <c r="L276" s="367"/>
      <c r="M276" s="368"/>
    </row>
    <row r="277" spans="2:21">
      <c r="B277" s="251"/>
      <c r="C277" s="69"/>
      <c r="D277" s="2" t="s">
        <v>114</v>
      </c>
      <c r="E277" s="970" t="s">
        <v>114</v>
      </c>
      <c r="G277"/>
      <c r="H277"/>
      <c r="I277"/>
      <c r="J277" s="250"/>
      <c r="K277" s="247"/>
      <c r="L277" s="250"/>
      <c r="M277" s="247"/>
      <c r="N277" s="247"/>
      <c r="O277" s="247"/>
      <c r="P277" s="247"/>
      <c r="Q277" s="247"/>
      <c r="R277" s="247"/>
      <c r="S277" s="247"/>
      <c r="T277" s="247"/>
      <c r="U277" s="247"/>
    </row>
    <row r="278" spans="2:21" ht="15.75">
      <c r="B278" s="314"/>
      <c r="C278" s="252"/>
      <c r="D278" s="244"/>
      <c r="E278" s="244"/>
      <c r="F278" s="316" t="str">
        <f>F224</f>
        <v xml:space="preserve">AEP East Companies </v>
      </c>
      <c r="G278" s="245"/>
      <c r="H278" s="250"/>
      <c r="I278" s="250"/>
      <c r="J278" s="250"/>
      <c r="K278" s="247"/>
      <c r="L278" s="250"/>
      <c r="M278" s="282"/>
      <c r="N278" s="247"/>
      <c r="O278" s="247"/>
      <c r="P278" s="247"/>
      <c r="Q278" s="247"/>
      <c r="R278" s="247"/>
      <c r="S278" s="247"/>
      <c r="T278" s="247"/>
      <c r="U278" s="247"/>
    </row>
    <row r="279" spans="2:21">
      <c r="B279" s="314"/>
      <c r="C279" s="252"/>
      <c r="E279" s="252"/>
      <c r="F279" s="316" t="str">
        <f>F225</f>
        <v>Transmission Cost of Service Formula Rate</v>
      </c>
      <c r="G279" s="250"/>
      <c r="H279" s="250"/>
      <c r="I279" s="250"/>
      <c r="J279" s="250"/>
      <c r="K279" s="247"/>
      <c r="L279" s="260"/>
      <c r="M279" s="282"/>
      <c r="N279" s="247"/>
      <c r="O279" s="247"/>
      <c r="P279" s="247"/>
      <c r="Q279" s="247"/>
      <c r="R279" s="247"/>
      <c r="S279" s="247"/>
      <c r="T279" s="247"/>
      <c r="U279" s="247"/>
    </row>
    <row r="280" spans="2:21" ht="15.75">
      <c r="B280" s="314"/>
      <c r="C280" s="252"/>
      <c r="E280" s="317"/>
      <c r="F280" s="316" t="str">
        <f>F226</f>
        <v>Utilizing  Actual/Projected FERC Form 1 Data</v>
      </c>
      <c r="G280" s="250"/>
      <c r="H280" s="250"/>
      <c r="I280" s="250"/>
      <c r="J280" s="250"/>
      <c r="K280" s="247"/>
      <c r="L280" s="260"/>
      <c r="M280" s="282"/>
      <c r="N280" s="247"/>
      <c r="O280" s="247"/>
      <c r="P280" s="247"/>
      <c r="Q280" s="247"/>
      <c r="R280" s="247"/>
      <c r="S280" s="247"/>
      <c r="T280" s="247"/>
      <c r="U280" s="247"/>
    </row>
    <row r="281" spans="2:21" ht="15.75">
      <c r="B281" s="251"/>
      <c r="C281" s="252"/>
      <c r="E281" s="317"/>
      <c r="F281" s="316"/>
      <c r="G281" s="250"/>
      <c r="H281" s="250"/>
      <c r="I281" s="250"/>
      <c r="J281" s="250"/>
      <c r="K281" s="247"/>
      <c r="L281" s="260"/>
      <c r="N281" s="247"/>
      <c r="O281" s="247"/>
      <c r="P281" s="247"/>
      <c r="Q281" s="247"/>
      <c r="R281" s="247"/>
      <c r="S281" s="247"/>
      <c r="T281" s="247"/>
      <c r="U281" s="247"/>
    </row>
    <row r="282" spans="2:21" ht="15.75">
      <c r="B282" s="251"/>
      <c r="C282" s="252"/>
      <c r="E282" s="317"/>
      <c r="F282" s="316" t="str">
        <f>F228</f>
        <v>Ohio Power Company</v>
      </c>
      <c r="G282" s="250"/>
      <c r="H282" s="250"/>
      <c r="I282" s="250"/>
      <c r="J282" s="250"/>
      <c r="K282" s="247"/>
      <c r="L282" s="260"/>
      <c r="N282" s="247"/>
      <c r="O282" s="247"/>
      <c r="P282" s="247"/>
      <c r="Q282" s="247"/>
      <c r="R282" s="247"/>
      <c r="S282" s="247"/>
      <c r="T282" s="247"/>
      <c r="U282" s="247"/>
    </row>
    <row r="283" spans="2:21" ht="15.75">
      <c r="B283" s="251"/>
      <c r="C283" s="252"/>
      <c r="E283" s="317"/>
      <c r="F283" s="316"/>
      <c r="G283" s="250"/>
      <c r="H283" s="250"/>
      <c r="I283" s="250"/>
      <c r="J283" s="250"/>
      <c r="K283" s="247"/>
      <c r="L283" s="260"/>
      <c r="N283" s="247"/>
      <c r="O283" s="247"/>
      <c r="P283" s="247"/>
      <c r="Q283" s="247"/>
      <c r="R283" s="247"/>
      <c r="S283" s="247"/>
      <c r="T283" s="247"/>
      <c r="U283" s="247"/>
    </row>
    <row r="284" spans="2:21" ht="15.75">
      <c r="B284" s="290" t="s">
        <v>176</v>
      </c>
      <c r="C284" s="252"/>
      <c r="D284" s="247"/>
      <c r="E284" s="247"/>
      <c r="F284" s="290" t="s">
        <v>175</v>
      </c>
      <c r="G284" s="250"/>
      <c r="H284" s="250"/>
      <c r="I284" s="250"/>
      <c r="J284" s="250"/>
      <c r="K284" s="247"/>
      <c r="L284" s="250"/>
      <c r="N284" s="247"/>
      <c r="O284" s="247"/>
      <c r="P284" s="247"/>
      <c r="Q284" s="247"/>
      <c r="R284" s="247"/>
      <c r="S284" s="247"/>
      <c r="T284" s="247"/>
      <c r="U284" s="247"/>
    </row>
    <row r="285" spans="2:21">
      <c r="C285" s="252"/>
      <c r="L285" s="260"/>
      <c r="N285" s="247"/>
      <c r="O285" s="247"/>
      <c r="P285" s="247"/>
      <c r="Q285" s="247"/>
      <c r="R285" s="247"/>
      <c r="S285" s="247"/>
      <c r="T285" s="247"/>
      <c r="U285" s="247"/>
    </row>
    <row r="286" spans="2:21">
      <c r="B286" s="251"/>
      <c r="C286" s="252"/>
      <c r="D286" s="247" t="s">
        <v>5</v>
      </c>
      <c r="E286" s="252"/>
      <c r="F286" s="252"/>
      <c r="G286" s="250"/>
      <c r="H286" s="250"/>
      <c r="I286" s="250"/>
      <c r="J286" s="250"/>
      <c r="K286" s="247"/>
      <c r="L286" s="250"/>
      <c r="M286" s="247"/>
      <c r="N286" s="247"/>
      <c r="O286" s="247"/>
      <c r="P286" s="247"/>
      <c r="Q286" s="247"/>
      <c r="R286" s="247"/>
      <c r="S286" s="247"/>
      <c r="T286" s="247"/>
      <c r="U286" s="247"/>
    </row>
    <row r="287" spans="2:21">
      <c r="B287" s="243"/>
      <c r="D287" s="247"/>
      <c r="E287" s="247"/>
      <c r="F287" s="247"/>
      <c r="G287" s="250"/>
      <c r="H287" s="250"/>
      <c r="I287" s="250"/>
      <c r="J287" s="250"/>
      <c r="K287" s="247"/>
      <c r="L287" s="250"/>
      <c r="M287" s="247"/>
      <c r="N287" s="247"/>
      <c r="O287" s="247"/>
      <c r="P287" s="247"/>
      <c r="Q287" s="247"/>
      <c r="R287" s="247"/>
      <c r="S287" s="247"/>
      <c r="T287" s="247"/>
      <c r="U287" s="247"/>
    </row>
    <row r="288" spans="2:21" ht="3.75" customHeight="1">
      <c r="B288" s="243"/>
      <c r="D288" s="247"/>
      <c r="E288" s="247"/>
      <c r="F288" s="247"/>
      <c r="G288" s="250"/>
      <c r="H288" s="250"/>
      <c r="I288" s="250"/>
      <c r="J288" s="250"/>
      <c r="K288" s="247"/>
      <c r="L288" s="250"/>
      <c r="M288" s="247"/>
      <c r="N288" s="247"/>
      <c r="O288" s="247"/>
      <c r="P288" s="247"/>
      <c r="Q288" s="247"/>
      <c r="R288" s="247"/>
      <c r="S288" s="247"/>
      <c r="T288" s="247"/>
      <c r="U288" s="247"/>
    </row>
    <row r="289" spans="2:21">
      <c r="B289" s="369" t="s">
        <v>148</v>
      </c>
      <c r="C289" s="252"/>
      <c r="D289" s="247" t="s">
        <v>477</v>
      </c>
      <c r="E289" s="247"/>
      <c r="F289" s="247"/>
      <c r="G289" s="250"/>
      <c r="H289" s="250"/>
      <c r="I289" s="250"/>
      <c r="J289" s="250"/>
      <c r="K289" s="247"/>
      <c r="L289" s="250"/>
      <c r="M289" s="247"/>
      <c r="N289" s="247"/>
      <c r="O289" s="247"/>
      <c r="P289" s="247"/>
      <c r="Q289" s="247"/>
      <c r="R289" s="247"/>
      <c r="S289" s="247"/>
      <c r="T289" s="247"/>
      <c r="U289" s="247"/>
    </row>
    <row r="290" spans="2:21">
      <c r="B290" s="369"/>
      <c r="C290" s="316"/>
      <c r="D290" s="247" t="s">
        <v>369</v>
      </c>
      <c r="E290" s="247"/>
      <c r="F290" s="247"/>
      <c r="G290" s="247"/>
      <c r="H290" s="247"/>
      <c r="I290" s="247"/>
      <c r="J290" s="247"/>
      <c r="K290" s="247"/>
      <c r="L290" s="247"/>
      <c r="M290" s="247"/>
      <c r="N290" s="247"/>
      <c r="O290" s="247"/>
      <c r="P290" s="247"/>
      <c r="Q290" s="247"/>
      <c r="R290" s="247"/>
      <c r="S290" s="247"/>
      <c r="T290" s="247"/>
      <c r="U290" s="247"/>
    </row>
    <row r="291" spans="2:21">
      <c r="D291" s="243" t="s">
        <v>370</v>
      </c>
      <c r="E291" s="273"/>
      <c r="F291" s="273"/>
      <c r="G291" s="247"/>
      <c r="H291" s="247"/>
      <c r="I291" s="247"/>
      <c r="J291" s="247"/>
      <c r="K291" s="247"/>
      <c r="L291" s="247"/>
      <c r="M291" s="247"/>
      <c r="N291" s="247"/>
      <c r="O291" s="247"/>
      <c r="P291" s="247"/>
      <c r="Q291" s="247"/>
      <c r="R291" s="247"/>
      <c r="S291" s="247"/>
      <c r="T291" s="247"/>
      <c r="U291" s="247"/>
    </row>
    <row r="292" spans="2:21">
      <c r="D292" s="247" t="s">
        <v>478</v>
      </c>
      <c r="E292" s="247"/>
      <c r="F292" s="247"/>
      <c r="G292" s="247"/>
      <c r="H292" s="247"/>
      <c r="I292" s="247"/>
      <c r="J292" s="247"/>
      <c r="K292" s="247"/>
      <c r="L292" s="247"/>
      <c r="M292" s="247"/>
      <c r="N292" s="247"/>
      <c r="O292" s="247"/>
      <c r="P292" s="247"/>
      <c r="Q292" s="247"/>
      <c r="R292" s="247"/>
      <c r="S292" s="247"/>
      <c r="T292" s="247"/>
      <c r="U292" s="247"/>
    </row>
    <row r="293" spans="2:21">
      <c r="B293" s="251"/>
      <c r="C293" s="252"/>
      <c r="D293" s="247" t="s">
        <v>479</v>
      </c>
      <c r="E293" s="247"/>
      <c r="F293" s="247"/>
      <c r="G293" s="247"/>
      <c r="H293" s="247"/>
      <c r="I293" s="247"/>
      <c r="J293" s="247"/>
      <c r="K293" s="247"/>
      <c r="L293" s="247"/>
      <c r="M293" s="247"/>
      <c r="N293" s="247"/>
      <c r="O293" s="247"/>
      <c r="P293" s="247"/>
      <c r="Q293" s="247"/>
      <c r="R293" s="247"/>
      <c r="S293" s="247"/>
      <c r="T293" s="247"/>
      <c r="U293" s="247"/>
    </row>
    <row r="294" spans="2:21">
      <c r="B294" s="251"/>
      <c r="C294" s="252"/>
      <c r="D294" s="247" t="s">
        <v>371</v>
      </c>
      <c r="E294" s="247"/>
      <c r="F294" s="247"/>
      <c r="G294" s="247"/>
      <c r="H294" s="247"/>
      <c r="I294" s="247"/>
      <c r="J294" s="247"/>
      <c r="K294" s="247"/>
      <c r="L294" s="247"/>
      <c r="M294" s="247"/>
      <c r="N294" s="247"/>
      <c r="O294" s="247"/>
      <c r="P294" s="247"/>
      <c r="Q294" s="247"/>
      <c r="R294" s="247"/>
      <c r="S294" s="247"/>
      <c r="T294" s="247"/>
      <c r="U294" s="247"/>
    </row>
    <row r="295" spans="2:21">
      <c r="B295" s="251"/>
      <c r="C295" s="252"/>
      <c r="D295" s="247" t="s">
        <v>372</v>
      </c>
      <c r="E295" s="247"/>
      <c r="F295" s="247"/>
      <c r="G295" s="247"/>
      <c r="H295" s="247"/>
      <c r="I295" s="247"/>
      <c r="J295" s="247"/>
      <c r="K295" s="247"/>
      <c r="L295" s="247"/>
      <c r="M295" s="247"/>
      <c r="N295" s="247"/>
      <c r="O295" s="247"/>
      <c r="P295" s="247"/>
      <c r="Q295" s="247"/>
      <c r="R295" s="247"/>
      <c r="S295" s="247"/>
      <c r="T295" s="247"/>
      <c r="U295" s="247"/>
    </row>
    <row r="296" spans="2:21" ht="45" customHeight="1">
      <c r="B296" s="251"/>
      <c r="C296" s="252"/>
      <c r="D296" s="1209" t="s">
        <v>575</v>
      </c>
      <c r="E296" s="1209"/>
      <c r="F296" s="1209"/>
      <c r="G296" s="1209"/>
      <c r="H296" s="1209"/>
      <c r="I296" s="1209"/>
      <c r="J296" s="1209"/>
      <c r="K296" s="1209"/>
      <c r="L296" s="1209"/>
      <c r="M296" s="247"/>
      <c r="N296" s="247"/>
      <c r="O296" s="247"/>
      <c r="P296" s="247"/>
      <c r="Q296" s="247"/>
      <c r="R296" s="247"/>
      <c r="S296" s="247"/>
      <c r="T296" s="247"/>
      <c r="U296" s="247"/>
    </row>
    <row r="297" spans="2:21">
      <c r="B297" s="251"/>
      <c r="C297" s="252"/>
      <c r="D297" s="247" t="s">
        <v>487</v>
      </c>
      <c r="E297" s="247"/>
      <c r="F297" s="247"/>
      <c r="G297" s="247"/>
      <c r="H297" s="247"/>
      <c r="I297" s="247"/>
      <c r="J297" s="247"/>
      <c r="K297" s="247"/>
      <c r="L297" s="247"/>
      <c r="M297" s="247"/>
      <c r="N297" s="247"/>
      <c r="O297" s="247"/>
      <c r="P297" s="247"/>
      <c r="Q297" s="247"/>
      <c r="R297" s="247"/>
      <c r="S297" s="247"/>
      <c r="T297" s="247"/>
      <c r="U297" s="247"/>
    </row>
    <row r="298" spans="2:21">
      <c r="B298" s="251"/>
      <c r="C298" s="252"/>
      <c r="D298" s="2"/>
      <c r="E298" s="247"/>
      <c r="F298" s="247"/>
      <c r="G298" s="247"/>
      <c r="H298" s="247"/>
      <c r="I298" s="247"/>
      <c r="J298" s="247"/>
      <c r="K298" s="247"/>
      <c r="L298" s="247"/>
      <c r="M298" s="247"/>
      <c r="N298" s="247"/>
      <c r="O298" s="247"/>
      <c r="P298" s="247"/>
      <c r="Q298" s="247"/>
      <c r="R298" s="247"/>
      <c r="S298" s="247"/>
      <c r="T298" s="247"/>
      <c r="U298" s="247"/>
    </row>
    <row r="299" spans="2:21" ht="15" customHeight="1">
      <c r="B299" s="251" t="s">
        <v>149</v>
      </c>
      <c r="C299" s="252"/>
      <c r="D299" s="1224" t="s">
        <v>593</v>
      </c>
      <c r="E299" s="1225"/>
      <c r="F299" s="1225"/>
      <c r="G299" s="1225"/>
      <c r="H299" s="1225"/>
      <c r="I299" s="1225"/>
      <c r="J299" s="1225"/>
      <c r="K299" s="1225"/>
      <c r="L299" s="247"/>
      <c r="M299" s="247"/>
      <c r="N299" s="247"/>
      <c r="O299" s="247"/>
      <c r="P299" s="247"/>
      <c r="Q299" s="247"/>
      <c r="R299" s="247"/>
      <c r="S299" s="247"/>
      <c r="T299" s="247"/>
      <c r="U299" s="247"/>
    </row>
    <row r="300" spans="2:21">
      <c r="B300" s="251"/>
      <c r="C300" s="252"/>
      <c r="D300" s="1225"/>
      <c r="E300" s="1225"/>
      <c r="F300" s="1225"/>
      <c r="G300" s="1225"/>
      <c r="H300" s="1225"/>
      <c r="I300" s="1225"/>
      <c r="J300" s="1225"/>
      <c r="K300" s="1225"/>
      <c r="L300" s="247"/>
      <c r="M300" s="247"/>
      <c r="N300" s="247"/>
      <c r="O300" s="247"/>
      <c r="P300" s="247"/>
      <c r="Q300" s="247"/>
      <c r="R300" s="247"/>
      <c r="S300" s="247"/>
      <c r="T300" s="247"/>
      <c r="U300" s="247"/>
    </row>
    <row r="301" spans="2:21">
      <c r="E301" s="247"/>
      <c r="F301" s="247"/>
      <c r="G301" s="247"/>
      <c r="H301" s="247"/>
      <c r="I301" s="247"/>
      <c r="J301" s="247"/>
      <c r="K301" s="247"/>
      <c r="L301" s="247"/>
      <c r="M301" s="247"/>
      <c r="N301" s="247"/>
      <c r="O301" s="247"/>
      <c r="P301" s="247"/>
      <c r="Q301" s="247"/>
      <c r="R301" s="247"/>
      <c r="S301" s="247"/>
      <c r="T301" s="247"/>
      <c r="U301" s="247"/>
    </row>
    <row r="302" spans="2:21">
      <c r="B302" s="251" t="s">
        <v>150</v>
      </c>
      <c r="C302" s="252"/>
      <c r="D302" s="2" t="s">
        <v>856</v>
      </c>
      <c r="E302" s="247"/>
      <c r="F302" s="247"/>
      <c r="G302" s="247"/>
      <c r="H302" s="247"/>
      <c r="I302" s="247"/>
      <c r="J302" s="247"/>
      <c r="K302" s="247"/>
      <c r="L302" s="247"/>
      <c r="M302" s="247"/>
      <c r="N302" s="247"/>
      <c r="O302" s="247"/>
      <c r="P302" s="247"/>
      <c r="Q302" s="247"/>
      <c r="R302" s="247"/>
      <c r="S302" s="247"/>
      <c r="T302" s="247"/>
      <c r="U302" s="247"/>
    </row>
    <row r="303" spans="2:21">
      <c r="B303" s="251"/>
      <c r="C303" s="252"/>
      <c r="D303" s="2"/>
      <c r="E303" s="247"/>
      <c r="F303" s="247"/>
      <c r="G303" s="247"/>
      <c r="H303" s="247"/>
      <c r="I303" s="247"/>
      <c r="J303" s="247"/>
      <c r="K303" s="247"/>
      <c r="L303" s="247"/>
      <c r="M303" s="247"/>
      <c r="N303" s="247"/>
      <c r="O303" s="247"/>
      <c r="P303" s="247"/>
      <c r="Q303" s="247"/>
      <c r="R303" s="247"/>
      <c r="S303" s="247"/>
      <c r="T303" s="247"/>
      <c r="U303" s="247"/>
    </row>
    <row r="304" spans="2:21">
      <c r="B304" s="251" t="s">
        <v>151</v>
      </c>
      <c r="C304" s="252"/>
      <c r="D304" s="1209" t="s">
        <v>577</v>
      </c>
      <c r="E304" s="1209"/>
      <c r="F304" s="1209"/>
      <c r="G304" s="1209"/>
      <c r="H304" s="1209"/>
      <c r="I304" s="1209"/>
      <c r="J304" s="1209"/>
      <c r="K304" s="1209"/>
      <c r="L304" s="1209"/>
      <c r="M304" s="247"/>
      <c r="N304" s="247"/>
      <c r="O304" s="247"/>
      <c r="P304" s="247"/>
      <c r="Q304" s="247"/>
      <c r="R304" s="247"/>
      <c r="S304" s="247"/>
      <c r="T304" s="247"/>
      <c r="U304" s="247"/>
    </row>
    <row r="305" spans="2:21">
      <c r="B305" s="251"/>
      <c r="C305" s="252"/>
      <c r="D305" s="1209"/>
      <c r="E305" s="1209"/>
      <c r="F305" s="1209"/>
      <c r="G305" s="1209"/>
      <c r="H305" s="1209"/>
      <c r="I305" s="1209"/>
      <c r="J305" s="1209"/>
      <c r="K305" s="1209"/>
      <c r="L305" s="1209"/>
      <c r="M305" s="247"/>
      <c r="N305" s="247"/>
      <c r="O305" s="247"/>
      <c r="P305" s="247"/>
      <c r="Q305" s="247"/>
      <c r="R305" s="247"/>
      <c r="S305" s="247"/>
      <c r="T305" s="247"/>
      <c r="U305" s="247"/>
    </row>
    <row r="306" spans="2:21">
      <c r="B306" s="251"/>
      <c r="C306" s="252"/>
      <c r="D306" s="247" t="s">
        <v>578</v>
      </c>
      <c r="E306" s="247"/>
      <c r="F306" s="247"/>
      <c r="G306" s="247"/>
      <c r="H306" s="247"/>
      <c r="I306" s="247"/>
      <c r="J306" s="247"/>
      <c r="K306" s="247"/>
      <c r="L306" s="247"/>
      <c r="M306" s="247"/>
      <c r="N306" s="247"/>
      <c r="O306" s="247"/>
      <c r="P306" s="247"/>
      <c r="Q306" s="247"/>
      <c r="R306" s="247"/>
      <c r="S306" s="247"/>
      <c r="T306" s="247"/>
      <c r="U306" s="247"/>
    </row>
    <row r="307" spans="2:21">
      <c r="B307" s="251"/>
      <c r="C307" s="252"/>
      <c r="D307" s="247" t="s">
        <v>579</v>
      </c>
      <c r="E307" s="247"/>
      <c r="F307" s="247"/>
      <c r="G307" s="247"/>
      <c r="H307" s="247"/>
      <c r="I307" s="247"/>
      <c r="J307" s="247"/>
      <c r="K307" s="247"/>
      <c r="L307" s="247"/>
      <c r="M307" s="247"/>
      <c r="N307" s="247"/>
      <c r="O307" s="247"/>
      <c r="P307" s="247"/>
      <c r="Q307" s="247"/>
      <c r="R307" s="247"/>
      <c r="S307" s="247"/>
      <c r="T307" s="247"/>
      <c r="U307" s="247"/>
    </row>
    <row r="308" spans="2:21" ht="30" customHeight="1">
      <c r="B308" s="251"/>
      <c r="C308" s="252"/>
      <c r="D308" s="1209" t="s">
        <v>576</v>
      </c>
      <c r="E308" s="1209"/>
      <c r="F308" s="1209"/>
      <c r="G308" s="1209"/>
      <c r="H308" s="1209"/>
      <c r="I308" s="1209"/>
      <c r="J308" s="1209"/>
      <c r="K308" s="1209"/>
      <c r="L308" s="1209"/>
      <c r="M308" s="247"/>
      <c r="N308" s="247"/>
      <c r="O308" s="247"/>
      <c r="P308" s="247"/>
      <c r="Q308" s="247"/>
      <c r="R308" s="247"/>
      <c r="S308" s="247"/>
      <c r="T308" s="247"/>
      <c r="U308" s="247"/>
    </row>
    <row r="309" spans="2:21" ht="21.75" customHeight="1">
      <c r="B309" s="251" t="s">
        <v>152</v>
      </c>
      <c r="C309" s="247"/>
      <c r="D309" s="247" t="str">
        <f>"Cash Working Capital assigned to transmission is one-eighth of O&amp;M allocated to transmission, as shown on line "&amp;B155&amp;". It excludes:"</f>
        <v>Cash Working Capital assigned to transmission is one-eighth of O&amp;M allocated to transmission, as shown on line 78. It excludes:</v>
      </c>
      <c r="E309" s="4"/>
      <c r="F309" s="4"/>
      <c r="G309" s="4"/>
      <c r="H309" s="4"/>
      <c r="I309" s="4"/>
      <c r="J309" s="4"/>
      <c r="K309" s="4"/>
      <c r="L309" s="4"/>
      <c r="M309" s="247"/>
      <c r="N309" s="247"/>
      <c r="O309" s="247"/>
      <c r="P309" s="247"/>
      <c r="Q309" s="247"/>
      <c r="R309" s="247"/>
      <c r="S309" s="247"/>
      <c r="T309" s="247"/>
      <c r="U309" s="247"/>
    </row>
    <row r="310" spans="2:21">
      <c r="B310" s="251"/>
      <c r="C310" s="247"/>
      <c r="D310" s="370" t="str">
        <f>+"1)  Load Scheduling &amp; Dispatch Charges in account 561 that are collected in the OATT Ancillary Services Revenue, as shown on line "&amp;B152&amp;"."</f>
        <v>1)  Load Scheduling &amp; Dispatch Charges in account 561 that are collected in the OATT Ancillary Services Revenue, as shown on line 75.</v>
      </c>
      <c r="E310" s="69"/>
      <c r="F310" s="69"/>
      <c r="G310" s="69"/>
      <c r="H310" s="69"/>
      <c r="I310" s="69"/>
      <c r="J310" s="69"/>
      <c r="K310" s="69"/>
      <c r="L310" s="69"/>
      <c r="M310" s="247"/>
      <c r="N310" s="247"/>
      <c r="O310" s="247"/>
      <c r="P310" s="247"/>
      <c r="Q310" s="247"/>
      <c r="R310" s="247"/>
      <c r="S310" s="247"/>
      <c r="T310" s="247"/>
      <c r="U310" s="247"/>
    </row>
    <row r="311" spans="2:21">
      <c r="B311" s="251"/>
      <c r="C311" s="247"/>
      <c r="D311" s="371" t="str">
        <f>+"2)  Costs of Transmission of Electricity by Others, as described in Note H."</f>
        <v>2)  Costs of Transmission of Electricity by Others, as described in Note H.</v>
      </c>
      <c r="E311" s="4"/>
      <c r="F311" s="4"/>
      <c r="G311" s="4"/>
      <c r="H311" s="4"/>
      <c r="I311" s="4"/>
      <c r="J311" s="4"/>
      <c r="K311" s="4"/>
      <c r="L311" s="4"/>
      <c r="M311" s="247"/>
      <c r="N311" s="247"/>
      <c r="O311" s="247"/>
      <c r="P311" s="247"/>
      <c r="Q311" s="247"/>
      <c r="R311" s="247"/>
      <c r="S311" s="247"/>
      <c r="T311" s="247"/>
      <c r="U311" s="247"/>
    </row>
    <row r="312" spans="2:21">
      <c r="B312" s="251"/>
      <c r="C312" s="247"/>
      <c r="D312" s="370" t="str">
        <f>+"3)  The impact of state regulatory deferrals and amortizations, as shown on line  "&amp;B154&amp;""</f>
        <v>3)  The impact of state regulatory deferrals and amortizations, as shown on line  77</v>
      </c>
      <c r="E312" s="69"/>
      <c r="F312" s="69"/>
      <c r="G312" s="69"/>
      <c r="H312" s="69"/>
      <c r="I312" s="69"/>
      <c r="J312" s="69"/>
      <c r="K312" s="69"/>
      <c r="L312" s="69"/>
      <c r="M312" s="247"/>
      <c r="N312" s="247"/>
      <c r="O312" s="247"/>
      <c r="P312" s="247"/>
      <c r="Q312" s="247"/>
      <c r="R312" s="247"/>
      <c r="S312" s="247"/>
      <c r="T312" s="247"/>
      <c r="U312" s="247"/>
    </row>
    <row r="313" spans="2:21">
      <c r="B313" s="251"/>
      <c r="C313" s="69"/>
      <c r="D313" s="371" t="str">
        <f>"4) All A&amp;G Expenses, as shown on line "&amp;B172&amp;"."</f>
        <v>4) All A&amp;G Expenses, as shown on line 93.</v>
      </c>
      <c r="E313" s="4"/>
      <c r="F313" s="4"/>
      <c r="G313" s="4"/>
      <c r="H313" s="4"/>
      <c r="I313" s="4"/>
      <c r="J313" s="4"/>
      <c r="K313" s="4"/>
      <c r="L313" s="4"/>
      <c r="M313" s="247"/>
      <c r="N313" s="247"/>
      <c r="O313" s="247"/>
      <c r="P313" s="247"/>
      <c r="Q313" s="247"/>
      <c r="R313" s="247"/>
      <c r="S313" s="247"/>
      <c r="T313" s="247"/>
      <c r="U313" s="247"/>
    </row>
    <row r="314" spans="2:21">
      <c r="B314" s="251"/>
      <c r="C314" s="252"/>
      <c r="D314" s="370"/>
      <c r="E314" s="370"/>
      <c r="F314" s="370"/>
      <c r="G314" s="370"/>
      <c r="H314" s="370"/>
      <c r="I314" s="370"/>
      <c r="J314" s="370"/>
      <c r="K314" s="370"/>
      <c r="L314" s="370"/>
      <c r="M314" s="247"/>
      <c r="N314" s="247"/>
      <c r="O314" s="247"/>
      <c r="P314" s="247"/>
      <c r="Q314" s="247"/>
      <c r="R314" s="247"/>
      <c r="S314" s="247"/>
      <c r="T314" s="247"/>
      <c r="U314" s="247"/>
    </row>
    <row r="315" spans="2:21">
      <c r="B315" s="369" t="s">
        <v>153</v>
      </c>
      <c r="C315" s="316"/>
      <c r="D315" s="372" t="str">
        <f>"Consistent with Paragraph 657 of Order 2003-A, the amount on line "&amp;B129&amp;" is equal to the balance of IPP System Upgrade Credits owed to transmission customers that"</f>
        <v>Consistent with Paragraph 657 of Order 2003-A, the amount on line 67 is equal to the balance of IPP System Upgrade Credits owed to transmission customers that</v>
      </c>
      <c r="E315" s="372"/>
      <c r="F315" s="372"/>
      <c r="G315" s="372"/>
      <c r="H315" s="372"/>
      <c r="I315" s="372"/>
      <c r="J315" s="372"/>
      <c r="K315" s="372"/>
      <c r="L315" s="372"/>
      <c r="M315" s="247"/>
      <c r="N315" s="247"/>
      <c r="O315" s="247"/>
      <c r="P315" s="247"/>
      <c r="Q315" s="247"/>
      <c r="R315" s="247"/>
      <c r="S315" s="247"/>
      <c r="T315" s="247"/>
      <c r="U315" s="247"/>
    </row>
    <row r="316" spans="2:21">
      <c r="D316" s="372" t="s">
        <v>218</v>
      </c>
      <c r="E316" s="372"/>
      <c r="F316" s="372"/>
      <c r="G316" s="372"/>
      <c r="H316" s="372"/>
      <c r="I316" s="372"/>
      <c r="J316" s="372"/>
      <c r="K316" s="372"/>
      <c r="L316" s="372"/>
      <c r="M316" s="247"/>
      <c r="N316" s="247"/>
      <c r="O316" s="247"/>
      <c r="P316" s="247"/>
      <c r="Q316" s="247"/>
      <c r="R316" s="247"/>
      <c r="S316" s="247"/>
      <c r="T316" s="247"/>
      <c r="U316" s="247"/>
    </row>
    <row r="317" spans="2:21">
      <c r="D317" s="372" t="str">
        <f>"expense is included on line "&amp;B215&amp;"."</f>
        <v>expense is included on line 127.</v>
      </c>
      <c r="E317" s="372"/>
      <c r="F317" s="372"/>
      <c r="G317" s="372"/>
      <c r="H317" s="372"/>
      <c r="I317" s="372"/>
      <c r="J317" s="372"/>
      <c r="K317" s="372"/>
      <c r="L317" s="372"/>
      <c r="M317" s="247"/>
      <c r="N317" s="247"/>
      <c r="O317" s="247"/>
      <c r="P317" s="247"/>
      <c r="Q317" s="247"/>
      <c r="R317" s="247"/>
      <c r="S317" s="247"/>
      <c r="T317" s="247"/>
      <c r="U317" s="247"/>
    </row>
    <row r="318" spans="2:21">
      <c r="D318" s="372"/>
      <c r="E318" s="372"/>
      <c r="F318" s="372"/>
      <c r="G318" s="372"/>
      <c r="H318" s="372"/>
      <c r="I318" s="372"/>
      <c r="J318" s="372"/>
      <c r="K318" s="372"/>
      <c r="L318" s="372"/>
      <c r="N318" s="247"/>
      <c r="O318" s="247"/>
      <c r="P318" s="247"/>
      <c r="Q318" s="247"/>
      <c r="R318" s="247"/>
      <c r="S318" s="247"/>
      <c r="T318" s="247"/>
      <c r="U318" s="247"/>
    </row>
    <row r="319" spans="2:21">
      <c r="B319" s="369" t="s">
        <v>154</v>
      </c>
      <c r="D319" s="1233" t="str">
        <f>"Removes from the cost of service the Load Scheduling and Dispatch expenses booked to accounts 561.1 through 561.8.  Expenses recorded in these accounts, with the exception of 561.4 &amp; 561.8 (lines "&amp;B45&amp;" &amp; "&amp;B46&amp;" above) are recovered in Schedule 1A, OATT ancillary services rates. See Worksheet F, lines "&amp;'WS F Misc Exp'!A24&amp;" through "&amp;'WS F Misc Exp'!A33&amp;", for descriptions and the Form 1 Source of these accounts' balances."</f>
        <v>Removes from the cost of service the Load Scheduling and Dispatch expenses booked to accounts 561.1 through 561.8.  Expenses recorded in these accounts, with the exception of 561.4 &amp; 561.8 (lines 16 &amp; 17 above) are recovered in Schedule 1A, OATT ancillary services rates. See Worksheet F, lines 5 through 14, for descriptions and the Form 1 Source of these accounts' balances.</v>
      </c>
      <c r="E319" s="1233"/>
      <c r="F319" s="1233"/>
      <c r="G319" s="1233"/>
      <c r="H319" s="1233"/>
      <c r="I319" s="1233"/>
      <c r="J319" s="1233"/>
      <c r="K319" s="1233"/>
      <c r="L319" s="372"/>
      <c r="N319" s="247"/>
      <c r="O319" s="247"/>
      <c r="P319" s="247"/>
      <c r="Q319" s="247"/>
      <c r="R319" s="247"/>
      <c r="S319" s="247"/>
      <c r="T319" s="247"/>
      <c r="U319" s="247"/>
    </row>
    <row r="320" spans="2:21">
      <c r="B320" s="369"/>
      <c r="D320" s="1233"/>
      <c r="E320" s="1233"/>
      <c r="F320" s="1233"/>
      <c r="G320" s="1233"/>
      <c r="H320" s="1233"/>
      <c r="I320" s="1233"/>
      <c r="J320" s="1233"/>
      <c r="K320" s="1233"/>
      <c r="L320" s="372"/>
      <c r="N320" s="247"/>
      <c r="O320" s="247"/>
      <c r="P320" s="247"/>
      <c r="Q320" s="247"/>
      <c r="R320" s="247"/>
      <c r="S320" s="247"/>
      <c r="T320" s="247"/>
      <c r="U320" s="247"/>
    </row>
    <row r="321" spans="2:21">
      <c r="B321" s="369"/>
      <c r="D321" s="1233"/>
      <c r="E321" s="1233"/>
      <c r="F321" s="1233"/>
      <c r="G321" s="1233"/>
      <c r="H321" s="1233"/>
      <c r="I321" s="1233"/>
      <c r="J321" s="1233"/>
      <c r="K321" s="1233"/>
      <c r="L321" s="372"/>
      <c r="N321" s="247"/>
      <c r="O321" s="247"/>
      <c r="P321" s="247"/>
      <c r="Q321" s="247"/>
      <c r="R321" s="247"/>
      <c r="S321" s="247"/>
      <c r="T321" s="247"/>
      <c r="U321" s="247"/>
    </row>
    <row r="322" spans="2:21">
      <c r="B322" s="369"/>
      <c r="D322" s="370"/>
      <c r="E322" s="372"/>
      <c r="F322" s="372"/>
      <c r="G322" s="372"/>
      <c r="H322" s="372"/>
      <c r="I322" s="372"/>
      <c r="J322" s="372"/>
      <c r="K322" s="372"/>
      <c r="L322" s="372"/>
      <c r="N322" s="247"/>
      <c r="O322" s="247"/>
      <c r="P322" s="247"/>
      <c r="Q322" s="247"/>
      <c r="R322" s="247"/>
      <c r="S322" s="247"/>
      <c r="T322" s="247"/>
      <c r="U322" s="247"/>
    </row>
    <row r="323" spans="2:21">
      <c r="B323" s="369" t="s">
        <v>155</v>
      </c>
      <c r="D323" s="1211" t="str">
        <f>"Removes cost of transmission service provided by others to determine the basis of cash working capital on line "&amp;B155&amp;". To the extent such service is incurred to provide the PJM service at issue, e.g. lease payments to affiliates, such cost is added back on line "&amp;B175&amp;" to determine the total O&amp;M collected in the formula.  The amounts on line "&amp;B175&amp;" is also excluded in the calculation of the FCR percentage calculated on lines "&amp;B29&amp;" through "&amp;B37&amp;"."</f>
        <v>Removes cost of transmission service provided by others to determine the basis of cash working capital on line 78. To the extent such service is incurred to provide the PJM service at issue, e.g. lease payments to affiliates, such cost is added back on line 95 to determine the total O&amp;M collected in the formula.  The amounts on line 95 is also excluded in the calculation of the FCR percentage calculated on lines 6 through 12.</v>
      </c>
      <c r="E323" s="1211"/>
      <c r="F323" s="1211"/>
      <c r="G323" s="1211"/>
      <c r="H323" s="1211"/>
      <c r="I323" s="1211"/>
      <c r="J323" s="1211"/>
      <c r="K323" s="1211"/>
      <c r="L323" s="372"/>
      <c r="N323" s="247"/>
      <c r="O323" s="247"/>
      <c r="P323" s="247"/>
      <c r="Q323" s="247"/>
      <c r="R323" s="247"/>
      <c r="S323" s="247"/>
      <c r="T323" s="247"/>
      <c r="U323" s="247"/>
    </row>
    <row r="324" spans="2:21">
      <c r="B324" s="369"/>
      <c r="D324" s="1211"/>
      <c r="E324" s="1211"/>
      <c r="F324" s="1211"/>
      <c r="G324" s="1211"/>
      <c r="H324" s="1211"/>
      <c r="I324" s="1211"/>
      <c r="J324" s="1211"/>
      <c r="K324" s="1211"/>
      <c r="L324" s="372"/>
      <c r="N324" s="247"/>
      <c r="O324" s="247"/>
      <c r="P324" s="247"/>
      <c r="Q324" s="247"/>
      <c r="R324" s="247"/>
      <c r="S324" s="247"/>
      <c r="T324" s="247"/>
      <c r="U324" s="247"/>
    </row>
    <row r="325" spans="2:21">
      <c r="B325" s="369"/>
      <c r="D325" s="1212"/>
      <c r="E325" s="1212"/>
      <c r="F325" s="1212"/>
      <c r="G325" s="1212"/>
      <c r="H325" s="1212"/>
      <c r="I325" s="1212"/>
      <c r="J325" s="1212"/>
      <c r="K325" s="1212"/>
      <c r="L325" s="372"/>
      <c r="N325" s="247"/>
      <c r="O325" s="247"/>
      <c r="P325" s="247"/>
      <c r="Q325" s="247"/>
      <c r="R325" s="247"/>
      <c r="S325" s="247"/>
      <c r="T325" s="247"/>
      <c r="U325" s="247"/>
    </row>
    <row r="326" spans="2:21">
      <c r="B326" s="369"/>
      <c r="D326" s="1228" t="str">
        <f>"The addbacks  on line "&amp;B175&amp;" of activity recorded in 565 represents inter-company sales or purchases of transmission capacity necessary to meet each AEP company's transmission load relative to their available transmission capacity."</f>
        <v>The addbacks  on line 95 of activity recorded in 565 represents inter-company sales or purchases of transmission capacity necessary to meet each AEP company's transmission load relative to their available transmission capacity.</v>
      </c>
      <c r="E326" s="1228"/>
      <c r="F326" s="1228"/>
      <c r="G326" s="1228"/>
      <c r="H326" s="1228"/>
      <c r="I326" s="1228"/>
      <c r="J326" s="1228"/>
      <c r="K326" s="373"/>
      <c r="L326" s="372"/>
      <c r="N326" s="247"/>
      <c r="O326" s="247"/>
      <c r="P326" s="247"/>
      <c r="Q326" s="247"/>
      <c r="R326" s="247"/>
      <c r="S326" s="247"/>
      <c r="T326" s="247"/>
      <c r="U326" s="247"/>
    </row>
    <row r="327" spans="2:21">
      <c r="B327" s="369"/>
      <c r="D327" s="1228"/>
      <c r="E327" s="1228"/>
      <c r="F327" s="1228"/>
      <c r="G327" s="1228"/>
      <c r="H327" s="1228"/>
      <c r="I327" s="1228"/>
      <c r="J327" s="1228"/>
      <c r="K327" s="373"/>
      <c r="L327" s="372"/>
      <c r="N327" s="247"/>
      <c r="O327" s="247"/>
      <c r="P327" s="247"/>
      <c r="Q327" s="247"/>
      <c r="R327" s="247"/>
      <c r="S327" s="247"/>
      <c r="T327" s="247"/>
      <c r="U327" s="247"/>
    </row>
    <row r="328" spans="2:21">
      <c r="B328" s="369"/>
      <c r="D328" s="372" t="str">
        <f>"The company records referenced on line "&amp;B175&amp;" is the "&amp;F9&amp;" general ledger."</f>
        <v>The company records referenced on line 95 is the Ohio Power Company general ledger.</v>
      </c>
      <c r="E328" s="374"/>
      <c r="F328" s="374"/>
      <c r="G328" s="374"/>
      <c r="H328" s="374"/>
      <c r="I328" s="374"/>
      <c r="J328" s="374"/>
      <c r="K328" s="374"/>
      <c r="L328" s="372"/>
      <c r="N328" s="247"/>
      <c r="O328" s="247"/>
      <c r="P328" s="247"/>
      <c r="Q328" s="247"/>
      <c r="R328" s="247"/>
      <c r="S328" s="247"/>
      <c r="T328" s="247"/>
      <c r="U328" s="247"/>
    </row>
    <row r="329" spans="2:21">
      <c r="B329" s="369"/>
      <c r="D329" s="372"/>
      <c r="E329" s="374"/>
      <c r="F329" s="374"/>
      <c r="G329" s="374"/>
      <c r="H329" s="374"/>
      <c r="I329" s="374"/>
      <c r="J329" s="374"/>
      <c r="K329" s="374"/>
      <c r="L329" s="372"/>
      <c r="N329" s="247"/>
      <c r="O329" s="247"/>
      <c r="P329" s="247"/>
      <c r="Q329" s="247"/>
      <c r="R329" s="247"/>
      <c r="S329" s="247"/>
      <c r="T329" s="247"/>
      <c r="U329" s="247"/>
    </row>
    <row r="330" spans="2:21">
      <c r="B330" s="369" t="s">
        <v>156</v>
      </c>
      <c r="D330" s="243" t="s">
        <v>580</v>
      </c>
      <c r="E330" s="69"/>
      <c r="F330" s="69"/>
      <c r="G330" s="69"/>
      <c r="H330" s="69"/>
      <c r="I330" s="69"/>
      <c r="J330" s="69"/>
      <c r="K330" s="69"/>
      <c r="L330" s="375"/>
      <c r="N330" s="247"/>
      <c r="O330" s="247"/>
      <c r="P330" s="247"/>
      <c r="Q330" s="247"/>
      <c r="R330" s="247"/>
      <c r="S330" s="247"/>
      <c r="T330" s="247"/>
      <c r="U330" s="247"/>
    </row>
    <row r="331" spans="2:21">
      <c r="B331" s="369"/>
      <c r="D331" s="375"/>
      <c r="E331" s="375"/>
      <c r="F331" s="375"/>
      <c r="G331" s="375"/>
      <c r="H331" s="375"/>
      <c r="I331" s="375"/>
      <c r="J331" s="375"/>
      <c r="K331" s="375"/>
      <c r="L331" s="375"/>
      <c r="N331" s="247"/>
      <c r="O331" s="247"/>
      <c r="P331" s="247"/>
      <c r="Q331" s="247"/>
      <c r="R331" s="247"/>
      <c r="S331" s="247"/>
      <c r="T331" s="247"/>
      <c r="U331" s="247"/>
    </row>
    <row r="332" spans="2:21">
      <c r="B332" s="369" t="s">
        <v>157</v>
      </c>
      <c r="D332" s="1231" t="s">
        <v>48</v>
      </c>
      <c r="E332" s="1225"/>
      <c r="F332" s="1225"/>
      <c r="G332" s="1225"/>
      <c r="H332" s="1225"/>
      <c r="I332" s="1225"/>
      <c r="J332" s="1225"/>
      <c r="K332" s="372"/>
      <c r="L332" s="372"/>
      <c r="N332" s="247"/>
      <c r="O332" s="247"/>
      <c r="P332" s="247"/>
      <c r="Q332" s="247"/>
      <c r="R332" s="247"/>
      <c r="S332" s="247"/>
      <c r="T332" s="247"/>
      <c r="U332" s="247"/>
    </row>
    <row r="333" spans="2:21">
      <c r="B333" s="369"/>
      <c r="D333" s="1232"/>
      <c r="E333" s="1232"/>
      <c r="F333" s="1232"/>
      <c r="G333" s="1232"/>
      <c r="H333" s="1232"/>
      <c r="I333" s="1232"/>
      <c r="J333" s="1232"/>
      <c r="K333" s="375"/>
      <c r="L333" s="375"/>
      <c r="N333" s="247"/>
      <c r="O333" s="247"/>
      <c r="P333" s="247"/>
      <c r="Q333" s="247"/>
      <c r="R333" s="247"/>
      <c r="S333" s="247"/>
      <c r="T333" s="247"/>
      <c r="U333" s="247"/>
    </row>
    <row r="334" spans="2:21">
      <c r="B334" s="369"/>
      <c r="D334" s="1225"/>
      <c r="E334" s="1225"/>
      <c r="F334" s="1225"/>
      <c r="G334" s="1225"/>
      <c r="H334" s="1225"/>
      <c r="I334" s="1225"/>
      <c r="J334" s="1225"/>
      <c r="K334" s="372"/>
      <c r="L334" s="372"/>
      <c r="N334" s="247"/>
      <c r="O334" s="247"/>
      <c r="P334" s="247"/>
      <c r="Q334" s="247"/>
      <c r="R334" s="247"/>
      <c r="S334" s="247"/>
      <c r="T334" s="247"/>
      <c r="U334" s="247"/>
    </row>
    <row r="335" spans="2:21">
      <c r="B335" s="369"/>
      <c r="D335" s="372"/>
      <c r="E335" s="372"/>
      <c r="F335" s="372"/>
      <c r="G335" s="372"/>
      <c r="H335" s="372"/>
      <c r="I335" s="372"/>
      <c r="J335" s="372"/>
      <c r="K335" s="372"/>
      <c r="L335" s="372"/>
      <c r="N335" s="247"/>
      <c r="O335" s="247"/>
      <c r="P335" s="247"/>
      <c r="Q335" s="247"/>
      <c r="R335" s="247"/>
      <c r="S335" s="247"/>
      <c r="T335" s="247"/>
      <c r="U335" s="247"/>
    </row>
    <row r="336" spans="2:21" ht="15.75">
      <c r="B336" s="811" t="s">
        <v>158</v>
      </c>
      <c r="C336" s="812"/>
      <c r="D336" s="1226" t="s">
        <v>851</v>
      </c>
      <c r="E336" s="1227"/>
      <c r="F336" s="1227"/>
      <c r="G336" s="1227"/>
      <c r="H336" s="1227"/>
      <c r="I336" s="1227"/>
      <c r="J336" s="1227"/>
      <c r="K336" s="1227"/>
      <c r="L336" s="375"/>
      <c r="N336" s="247"/>
      <c r="O336" s="247"/>
      <c r="P336" s="247"/>
      <c r="Q336" s="247"/>
      <c r="R336" s="247"/>
      <c r="S336" s="247"/>
      <c r="T336" s="247"/>
      <c r="U336" s="247"/>
    </row>
    <row r="337" spans="2:21" ht="15.75">
      <c r="B337" s="788"/>
      <c r="C337" s="812"/>
      <c r="D337" s="1227"/>
      <c r="E337" s="1227"/>
      <c r="F337" s="1227"/>
      <c r="G337" s="1227"/>
      <c r="H337" s="1227"/>
      <c r="I337" s="1227"/>
      <c r="J337" s="1227"/>
      <c r="K337" s="1227"/>
      <c r="L337" s="372"/>
      <c r="N337" s="247"/>
      <c r="O337" s="247"/>
      <c r="P337" s="247"/>
      <c r="Q337" s="247"/>
      <c r="R337" s="247"/>
      <c r="S337" s="247"/>
      <c r="T337" s="247"/>
      <c r="U337" s="247"/>
    </row>
    <row r="338" spans="2:21">
      <c r="B338" s="369"/>
      <c r="D338" s="372"/>
      <c r="E338" s="372"/>
      <c r="F338" s="372"/>
      <c r="G338" s="372"/>
      <c r="H338" s="372"/>
      <c r="I338" s="372"/>
      <c r="J338" s="372"/>
      <c r="K338" s="372"/>
      <c r="L338" s="372"/>
      <c r="N338" s="247"/>
      <c r="O338" s="247"/>
      <c r="P338" s="247"/>
      <c r="Q338" s="247"/>
      <c r="R338" s="247"/>
      <c r="S338" s="247"/>
      <c r="T338" s="247"/>
      <c r="U338" s="247"/>
    </row>
    <row r="339" spans="2:21">
      <c r="B339" s="251" t="s">
        <v>159</v>
      </c>
      <c r="C339" s="252"/>
      <c r="D339" s="1209" t="s">
        <v>581</v>
      </c>
      <c r="E339" s="1209"/>
      <c r="F339" s="1209"/>
      <c r="G339" s="1209"/>
      <c r="H339" s="1209"/>
      <c r="I339" s="1209"/>
      <c r="J339" s="1209"/>
      <c r="K339" s="1209"/>
      <c r="L339" s="1209"/>
      <c r="N339" s="247"/>
      <c r="O339" s="247"/>
      <c r="P339" s="247"/>
      <c r="Q339" s="247"/>
      <c r="R339" s="247"/>
      <c r="S339" s="247"/>
      <c r="T339" s="247"/>
      <c r="U339" s="247"/>
    </row>
    <row r="340" spans="2:21">
      <c r="B340" s="251"/>
      <c r="C340" s="252"/>
      <c r="D340" s="1209"/>
      <c r="E340" s="1209"/>
      <c r="F340" s="1209"/>
      <c r="G340" s="1209"/>
      <c r="H340" s="1209"/>
      <c r="I340" s="1209"/>
      <c r="J340" s="1209"/>
      <c r="K340" s="1209"/>
      <c r="L340" s="1209"/>
      <c r="N340" s="247"/>
      <c r="O340" s="247"/>
      <c r="P340" s="247"/>
      <c r="Q340" s="247"/>
      <c r="R340" s="247"/>
      <c r="S340" s="247"/>
      <c r="T340" s="247"/>
      <c r="U340" s="247"/>
    </row>
    <row r="341" spans="2:21">
      <c r="B341" s="251"/>
      <c r="C341" s="252"/>
      <c r="D341" s="1209"/>
      <c r="E341" s="1209"/>
      <c r="F341" s="1209"/>
      <c r="G341" s="1209"/>
      <c r="H341" s="1209"/>
      <c r="I341" s="1209"/>
      <c r="J341" s="1209"/>
      <c r="K341" s="1209"/>
      <c r="L341" s="1209"/>
      <c r="N341" s="247"/>
      <c r="O341" s="247"/>
      <c r="P341" s="247"/>
      <c r="Q341" s="247"/>
      <c r="R341" s="247"/>
      <c r="S341" s="247"/>
      <c r="T341" s="247"/>
      <c r="U341" s="247"/>
    </row>
    <row r="342" spans="2:21">
      <c r="B342" s="251"/>
      <c r="C342" s="252"/>
      <c r="D342" s="1209"/>
      <c r="E342" s="1209"/>
      <c r="F342" s="1209"/>
      <c r="G342" s="1209"/>
      <c r="H342" s="1209"/>
      <c r="I342" s="1209"/>
      <c r="J342" s="1209"/>
      <c r="K342" s="1209"/>
      <c r="L342" s="1209"/>
      <c r="N342" s="247"/>
      <c r="O342" s="247"/>
      <c r="P342" s="247"/>
      <c r="Q342" s="247"/>
      <c r="R342" s="247"/>
      <c r="S342" s="247"/>
      <c r="T342" s="247"/>
      <c r="U342" s="247"/>
    </row>
    <row r="343" spans="2:21">
      <c r="B343" s="251"/>
      <c r="C343" s="252"/>
      <c r="D343" s="372"/>
      <c r="E343" s="370"/>
      <c r="F343" s="370"/>
      <c r="G343" s="370"/>
      <c r="H343" s="370"/>
      <c r="I343" s="370"/>
      <c r="J343" s="370"/>
      <c r="K343" s="370"/>
      <c r="L343" s="370"/>
      <c r="N343" s="247"/>
      <c r="O343" s="247"/>
      <c r="P343" s="247"/>
      <c r="Q343" s="247"/>
      <c r="R343" s="247"/>
      <c r="S343" s="247"/>
      <c r="T343" s="247"/>
      <c r="U343" s="247"/>
    </row>
    <row r="344" spans="2:21" ht="15" customHeight="1">
      <c r="B344" s="251" t="s">
        <v>160</v>
      </c>
      <c r="C344" s="252"/>
      <c r="D344" s="1229" t="s">
        <v>849</v>
      </c>
      <c r="E344" s="1230"/>
      <c r="F344" s="1230"/>
      <c r="G344" s="1230"/>
      <c r="H344" s="1230"/>
      <c r="I344" s="1230"/>
      <c r="J344" s="1230"/>
      <c r="K344" s="1230"/>
      <c r="L344" s="1224"/>
      <c r="N344" s="247"/>
      <c r="O344" s="247"/>
      <c r="P344" s="247"/>
      <c r="Q344" s="247"/>
      <c r="R344" s="247"/>
      <c r="S344" s="247"/>
      <c r="T344" s="247"/>
      <c r="U344" s="247"/>
    </row>
    <row r="345" spans="2:21">
      <c r="B345" s="251"/>
      <c r="C345" s="252"/>
      <c r="D345" s="1230"/>
      <c r="E345" s="1230"/>
      <c r="F345" s="1230"/>
      <c r="G345" s="1230"/>
      <c r="H345" s="1230"/>
      <c r="I345" s="1230"/>
      <c r="J345" s="1230"/>
      <c r="K345" s="1230"/>
      <c r="L345" s="1224"/>
      <c r="N345" s="247"/>
      <c r="O345" s="247"/>
      <c r="P345" s="247"/>
      <c r="Q345" s="247"/>
      <c r="R345" s="247"/>
      <c r="S345" s="247"/>
      <c r="T345" s="247"/>
      <c r="U345" s="247"/>
    </row>
    <row r="346" spans="2:21">
      <c r="B346" s="251"/>
      <c r="C346" s="252"/>
      <c r="D346" s="1224"/>
      <c r="E346" s="1224"/>
      <c r="F346" s="1224"/>
      <c r="G346" s="1224"/>
      <c r="H346" s="1224"/>
      <c r="I346" s="1224"/>
      <c r="J346" s="1224"/>
      <c r="K346" s="1224"/>
      <c r="L346" s="1224"/>
      <c r="N346" s="247"/>
      <c r="O346" s="247"/>
      <c r="P346" s="247"/>
      <c r="Q346" s="247"/>
      <c r="R346" s="247"/>
      <c r="S346" s="247"/>
      <c r="T346" s="247"/>
      <c r="U346" s="247"/>
    </row>
    <row r="347" spans="2:21">
      <c r="B347" s="251"/>
      <c r="C347" s="252"/>
      <c r="D347" s="326"/>
      <c r="E347" s="247"/>
      <c r="F347" s="247"/>
      <c r="G347" s="247"/>
      <c r="H347" s="247"/>
      <c r="I347" s="247"/>
      <c r="J347" s="247"/>
      <c r="K347" s="247"/>
      <c r="L347" s="247"/>
      <c r="N347" s="247"/>
      <c r="O347" s="247"/>
      <c r="P347" s="247"/>
      <c r="Q347" s="247"/>
      <c r="R347" s="247"/>
      <c r="S347" s="247"/>
      <c r="T347" s="247"/>
      <c r="U347" s="247"/>
    </row>
    <row r="348" spans="2:21">
      <c r="B348" s="316" t="s">
        <v>245</v>
      </c>
      <c r="C348" s="252"/>
      <c r="D348" s="247" t="s">
        <v>355</v>
      </c>
      <c r="E348" s="2"/>
      <c r="F348" s="2"/>
      <c r="G348" s="2"/>
      <c r="H348" s="2"/>
      <c r="I348" s="2"/>
      <c r="J348" s="2"/>
      <c r="N348" s="247"/>
      <c r="O348" s="247"/>
      <c r="P348" s="247"/>
      <c r="Q348" s="247"/>
      <c r="R348" s="247"/>
      <c r="S348" s="247"/>
      <c r="T348" s="247"/>
      <c r="U348" s="247"/>
    </row>
    <row r="349" spans="2:21">
      <c r="B349" s="316"/>
      <c r="C349" s="252"/>
      <c r="D349" s="2"/>
      <c r="E349" s="2"/>
      <c r="F349" s="2"/>
      <c r="G349" s="2"/>
      <c r="H349" s="2"/>
      <c r="I349" s="2"/>
      <c r="J349" s="2"/>
      <c r="N349" s="247"/>
      <c r="O349" s="247"/>
      <c r="P349" s="247"/>
      <c r="Q349" s="247"/>
      <c r="R349" s="247"/>
      <c r="S349" s="247"/>
      <c r="T349" s="247"/>
      <c r="U349" s="247"/>
    </row>
    <row r="350" spans="2:21">
      <c r="B350" s="251" t="s">
        <v>304</v>
      </c>
      <c r="C350" s="252"/>
      <c r="D350" s="247" t="s">
        <v>344</v>
      </c>
      <c r="N350" s="247"/>
      <c r="O350" s="247"/>
      <c r="P350" s="247"/>
      <c r="Q350" s="247"/>
      <c r="R350" s="247"/>
      <c r="S350" s="247"/>
      <c r="T350" s="247"/>
      <c r="U350" s="247"/>
    </row>
    <row r="351" spans="2:21">
      <c r="B351" s="316"/>
      <c r="C351" s="252"/>
      <c r="D351" s="247" t="s">
        <v>233</v>
      </c>
      <c r="N351" s="247"/>
      <c r="O351" s="247"/>
      <c r="P351" s="247"/>
      <c r="Q351" s="247"/>
      <c r="R351" s="247"/>
      <c r="S351" s="247"/>
      <c r="T351" s="247"/>
      <c r="U351" s="247"/>
    </row>
    <row r="352" spans="2:21">
      <c r="B352" s="316"/>
      <c r="C352" s="252"/>
      <c r="D352" s="247" t="s">
        <v>234</v>
      </c>
      <c r="N352" s="247"/>
      <c r="O352" s="247"/>
      <c r="P352" s="247"/>
      <c r="Q352" s="247"/>
      <c r="R352" s="247"/>
      <c r="S352" s="247"/>
      <c r="T352" s="247"/>
      <c r="U352" s="247"/>
    </row>
    <row r="353" spans="2:21">
      <c r="B353" s="316"/>
      <c r="C353" s="252"/>
      <c r="D353" s="247" t="s">
        <v>235</v>
      </c>
      <c r="N353" s="247"/>
      <c r="O353" s="247"/>
      <c r="P353" s="247"/>
      <c r="Q353" s="247"/>
      <c r="R353" s="247"/>
      <c r="S353" s="247"/>
      <c r="T353" s="247"/>
      <c r="U353" s="247"/>
    </row>
    <row r="354" spans="2:21">
      <c r="B354" s="251"/>
      <c r="C354" s="252"/>
      <c r="D354" s="247" t="str">
        <f>"(ln "&amp;B202&amp;") multiplied by (1/1-T) .  If the applicable tax rates are zero enter 0."</f>
        <v>(ln 118) multiplied by (1/1-T) .  If the applicable tax rates are zero enter 0.</v>
      </c>
      <c r="N354" s="247"/>
      <c r="O354" s="247"/>
      <c r="P354" s="247"/>
      <c r="Q354" s="247"/>
      <c r="R354" s="247"/>
      <c r="S354" s="247"/>
      <c r="T354" s="247"/>
      <c r="U354" s="247"/>
    </row>
    <row r="355" spans="2:21">
      <c r="B355" s="376"/>
      <c r="C355" s="247"/>
      <c r="D355" s="247" t="s">
        <v>345</v>
      </c>
      <c r="E355" s="247" t="s">
        <v>346</v>
      </c>
      <c r="F355" s="612">
        <v>0.21</v>
      </c>
      <c r="G355" s="247"/>
      <c r="N355" s="247"/>
      <c r="O355" s="247"/>
      <c r="P355" s="247"/>
      <c r="Q355" s="247"/>
      <c r="R355" s="247"/>
      <c r="S355" s="247"/>
      <c r="T355" s="247"/>
      <c r="U355" s="247"/>
    </row>
    <row r="356" spans="2:21">
      <c r="B356" s="376"/>
      <c r="C356" s="247"/>
      <c r="D356" s="247"/>
      <c r="E356" s="247" t="s">
        <v>347</v>
      </c>
      <c r="F356" s="273">
        <f>'WS G  State Tax Rate'!F30</f>
        <v>1.3464E-2</v>
      </c>
      <c r="G356" s="247" t="s">
        <v>505</v>
      </c>
      <c r="N356" s="247"/>
      <c r="O356" s="247"/>
      <c r="P356" s="247"/>
      <c r="Q356" s="247"/>
      <c r="R356" s="247"/>
      <c r="S356" s="247"/>
      <c r="T356" s="247"/>
      <c r="U356" s="247"/>
    </row>
    <row r="357" spans="2:21">
      <c r="B357" s="376"/>
      <c r="C357" s="247"/>
      <c r="D357" s="247"/>
      <c r="E357" s="247" t="s">
        <v>348</v>
      </c>
      <c r="F357" s="612">
        <v>0</v>
      </c>
      <c r="G357" s="247" t="s">
        <v>349</v>
      </c>
      <c r="N357" s="247"/>
      <c r="O357" s="247"/>
      <c r="P357" s="247"/>
      <c r="Q357" s="247"/>
      <c r="R357" s="247"/>
      <c r="S357" s="247"/>
      <c r="T357" s="247"/>
      <c r="U357" s="247"/>
    </row>
    <row r="358" spans="2:21">
      <c r="B358" s="316"/>
      <c r="C358" s="252"/>
      <c r="D358" s="247" t="s">
        <v>591</v>
      </c>
      <c r="M358" s="247"/>
      <c r="N358" s="247"/>
      <c r="O358" s="247"/>
      <c r="P358" s="247"/>
      <c r="Q358" s="247"/>
      <c r="R358" s="247"/>
      <c r="S358" s="247"/>
      <c r="T358" s="247"/>
      <c r="U358" s="247"/>
    </row>
    <row r="359" spans="2:21">
      <c r="B359" s="316"/>
      <c r="C359" s="252"/>
      <c r="D359" s="247" t="s">
        <v>592</v>
      </c>
      <c r="M359" s="247"/>
      <c r="N359" s="247"/>
      <c r="O359" s="247"/>
      <c r="P359" s="247"/>
      <c r="Q359" s="247"/>
      <c r="R359" s="247"/>
      <c r="S359" s="247"/>
      <c r="T359" s="247"/>
      <c r="U359" s="247"/>
    </row>
    <row r="360" spans="2:21">
      <c r="B360" s="251" t="s">
        <v>350</v>
      </c>
      <c r="C360" s="252"/>
      <c r="D360" s="247" t="s">
        <v>224</v>
      </c>
      <c r="N360" s="247"/>
      <c r="O360" s="247"/>
      <c r="P360" s="247"/>
      <c r="Q360" s="247"/>
      <c r="R360" s="247"/>
      <c r="S360" s="247"/>
      <c r="T360" s="247"/>
      <c r="U360" s="247"/>
    </row>
    <row r="361" spans="2:21">
      <c r="B361" s="243"/>
      <c r="D361" s="247"/>
      <c r="N361" s="247"/>
      <c r="O361" s="247"/>
      <c r="P361" s="247"/>
      <c r="Q361" s="247"/>
      <c r="R361" s="247"/>
      <c r="S361" s="247"/>
      <c r="T361" s="247"/>
      <c r="U361" s="247"/>
    </row>
    <row r="362" spans="2:21">
      <c r="B362" s="251" t="s">
        <v>351</v>
      </c>
      <c r="C362" s="252"/>
      <c r="D362" s="247" t="s">
        <v>22</v>
      </c>
      <c r="N362" s="247"/>
      <c r="O362" s="247"/>
      <c r="P362" s="247"/>
      <c r="Q362" s="247"/>
      <c r="R362" s="247"/>
      <c r="S362" s="247"/>
      <c r="T362" s="247"/>
      <c r="U362" s="247"/>
    </row>
    <row r="363" spans="2:21">
      <c r="B363" s="251"/>
      <c r="C363" s="252"/>
      <c r="D363" s="247"/>
      <c r="E363" s="247"/>
      <c r="F363" s="247"/>
      <c r="G363" s="247"/>
      <c r="H363" s="247"/>
      <c r="I363" s="247"/>
      <c r="J363" s="247"/>
      <c r="K363" s="247"/>
      <c r="L363" s="247"/>
      <c r="M363" s="247"/>
      <c r="N363" s="247"/>
      <c r="O363" s="247"/>
      <c r="P363" s="247"/>
      <c r="Q363" s="247"/>
      <c r="R363" s="247"/>
      <c r="S363" s="247"/>
      <c r="T363" s="247"/>
      <c r="U363" s="247"/>
    </row>
    <row r="364" spans="2:21">
      <c r="B364" s="251" t="s">
        <v>352</v>
      </c>
      <c r="C364" s="252"/>
      <c r="D364" s="247" t="s">
        <v>415</v>
      </c>
      <c r="E364" s="247"/>
      <c r="F364" s="247"/>
      <c r="G364" s="247"/>
      <c r="H364" s="247"/>
      <c r="I364" s="247"/>
      <c r="J364" s="247"/>
      <c r="K364" s="247"/>
      <c r="L364" s="247"/>
      <c r="M364" s="247"/>
      <c r="N364" s="247"/>
      <c r="O364" s="247"/>
      <c r="P364" s="247"/>
      <c r="Q364" s="247"/>
      <c r="R364" s="247"/>
      <c r="S364" s="247"/>
      <c r="T364" s="247"/>
      <c r="U364" s="247"/>
    </row>
    <row r="365" spans="2:21">
      <c r="B365" s="251"/>
      <c r="C365" s="252"/>
      <c r="D365" s="247"/>
      <c r="E365" s="247"/>
      <c r="F365" s="247"/>
      <c r="G365" s="247"/>
      <c r="H365" s="247"/>
      <c r="I365" s="247"/>
      <c r="J365" s="247"/>
      <c r="K365" s="247"/>
      <c r="L365" s="247"/>
      <c r="M365" s="247"/>
      <c r="N365" s="247"/>
      <c r="O365" s="247"/>
      <c r="P365" s="247"/>
      <c r="Q365" s="247"/>
      <c r="R365" s="247"/>
      <c r="S365" s="247"/>
      <c r="T365" s="247"/>
      <c r="U365" s="247"/>
    </row>
    <row r="366" spans="2:21">
      <c r="B366" s="369" t="s">
        <v>353</v>
      </c>
      <c r="C366" s="316"/>
      <c r="D366" s="247" t="s">
        <v>1110</v>
      </c>
      <c r="M366" s="247"/>
      <c r="N366" s="247"/>
      <c r="O366" s="247"/>
      <c r="P366" s="247"/>
      <c r="Q366" s="247"/>
      <c r="R366" s="247"/>
      <c r="S366" s="247"/>
      <c r="T366" s="247"/>
      <c r="U366" s="247"/>
    </row>
    <row r="367" spans="2:21">
      <c r="D367" s="247" t="s">
        <v>1111</v>
      </c>
      <c r="M367" s="247"/>
      <c r="N367" s="247"/>
      <c r="O367" s="247"/>
      <c r="P367" s="247"/>
      <c r="Q367" s="247"/>
      <c r="R367" s="247"/>
      <c r="S367" s="247"/>
      <c r="T367" s="247"/>
      <c r="U367" s="247"/>
    </row>
    <row r="368" spans="2:21" ht="15" customHeight="1">
      <c r="D368" s="1210" t="s">
        <v>1112</v>
      </c>
      <c r="E368" s="1210"/>
      <c r="F368" s="1210"/>
      <c r="G368" s="1210"/>
      <c r="H368" s="1210"/>
      <c r="I368" s="1210"/>
      <c r="J368" s="1210"/>
      <c r="K368" s="1210"/>
      <c r="L368" s="1210"/>
      <c r="M368" s="247"/>
      <c r="N368" s="247"/>
      <c r="O368" s="247"/>
      <c r="P368" s="247"/>
      <c r="Q368" s="247"/>
      <c r="R368" s="247"/>
      <c r="S368" s="247"/>
      <c r="T368" s="247"/>
      <c r="U368" s="247"/>
    </row>
    <row r="369" spans="2:21">
      <c r="D369" s="1210"/>
      <c r="E369" s="1210"/>
      <c r="F369" s="1210"/>
      <c r="G369" s="1210"/>
      <c r="H369" s="1210"/>
      <c r="I369" s="1210"/>
      <c r="J369" s="1210"/>
      <c r="K369" s="1210"/>
      <c r="L369" s="1210"/>
      <c r="M369" s="247"/>
      <c r="N369" s="247"/>
      <c r="O369" s="247"/>
      <c r="P369" s="247"/>
      <c r="Q369" s="247"/>
      <c r="R369" s="247"/>
      <c r="S369" s="247"/>
      <c r="T369" s="247"/>
      <c r="U369" s="247"/>
    </row>
    <row r="370" spans="2:21" ht="14.25" customHeight="1">
      <c r="D370" s="1210"/>
      <c r="E370" s="1210"/>
      <c r="F370" s="1210"/>
      <c r="G370" s="1210"/>
      <c r="H370" s="1210"/>
      <c r="I370" s="1210"/>
      <c r="J370" s="1210"/>
      <c r="K370" s="1210"/>
      <c r="L370" s="1210"/>
      <c r="M370" s="247"/>
      <c r="N370" s="247"/>
      <c r="O370" s="247"/>
      <c r="P370" s="247"/>
      <c r="Q370" s="247"/>
      <c r="R370" s="247"/>
      <c r="S370" s="247"/>
      <c r="T370" s="247"/>
      <c r="U370" s="247"/>
    </row>
    <row r="371" spans="2:21" ht="15" hidden="1" customHeight="1">
      <c r="D371" s="1210"/>
      <c r="E371" s="1210"/>
      <c r="F371" s="1210"/>
      <c r="G371" s="1210"/>
      <c r="H371" s="1210"/>
      <c r="I371" s="1210"/>
      <c r="J371" s="1210"/>
      <c r="K371" s="1210"/>
      <c r="L371" s="1210"/>
      <c r="M371" s="247"/>
      <c r="N371" s="247"/>
      <c r="O371" s="247"/>
      <c r="P371" s="247"/>
      <c r="Q371" s="247"/>
      <c r="R371" s="247"/>
      <c r="S371" s="247"/>
      <c r="T371" s="247"/>
      <c r="U371" s="247"/>
    </row>
    <row r="372" spans="2:21" ht="15" hidden="1" customHeight="1">
      <c r="D372" s="1210"/>
      <c r="E372" s="1210"/>
      <c r="F372" s="1210"/>
      <c r="G372" s="1210"/>
      <c r="H372" s="1210"/>
      <c r="I372" s="1210"/>
      <c r="J372" s="1210"/>
      <c r="K372" s="1210"/>
      <c r="L372" s="1210"/>
      <c r="M372" s="247"/>
      <c r="N372" s="247"/>
      <c r="O372" s="247"/>
      <c r="P372" s="247"/>
      <c r="Q372" s="247"/>
      <c r="R372" s="247"/>
      <c r="S372" s="247"/>
      <c r="T372" s="247"/>
      <c r="U372" s="247"/>
    </row>
    <row r="373" spans="2:21" ht="15" hidden="1" customHeight="1">
      <c r="D373" s="1210"/>
      <c r="E373" s="1210"/>
      <c r="F373" s="1210"/>
      <c r="G373" s="1210"/>
      <c r="H373" s="1210"/>
      <c r="I373" s="1210"/>
      <c r="J373" s="1210"/>
      <c r="K373" s="1210"/>
      <c r="L373" s="1210"/>
      <c r="M373" s="247"/>
      <c r="N373" s="247"/>
      <c r="O373" s="247"/>
      <c r="P373" s="247"/>
      <c r="Q373" s="247"/>
      <c r="R373" s="247"/>
      <c r="S373" s="247"/>
      <c r="T373" s="247"/>
      <c r="U373" s="247"/>
    </row>
    <row r="374" spans="2:21">
      <c r="B374" s="251" t="s">
        <v>426</v>
      </c>
      <c r="C374" s="252"/>
      <c r="D374" s="372" t="s">
        <v>34</v>
      </c>
      <c r="E374" s="372"/>
      <c r="F374" s="372"/>
      <c r="G374" s="372"/>
      <c r="H374" s="372"/>
      <c r="I374" s="372"/>
      <c r="J374" s="372"/>
      <c r="M374" s="247"/>
      <c r="N374" s="247"/>
      <c r="O374" s="247"/>
      <c r="P374" s="247"/>
      <c r="Q374" s="247"/>
      <c r="R374" s="247"/>
      <c r="S374" s="247"/>
      <c r="T374" s="247"/>
      <c r="U374" s="247"/>
    </row>
    <row r="375" spans="2:21">
      <c r="B375" s="251"/>
      <c r="C375" s="252"/>
      <c r="D375" s="372" t="str">
        <f>"This total balance of $265,249,280 at 12/31/12 is not included in the balance in line "&amp;B271&amp;" above."</f>
        <v>This total balance of $265,249,280 at 12/31/12 is not included in the balance in line 154 above.</v>
      </c>
      <c r="E375" s="372"/>
      <c r="F375" s="372"/>
      <c r="G375" s="372"/>
      <c r="H375" s="372"/>
      <c r="I375" s="372"/>
      <c r="J375" s="372"/>
      <c r="M375" s="247"/>
      <c r="N375" s="247"/>
      <c r="O375" s="247"/>
      <c r="P375" s="247"/>
      <c r="Q375" s="247"/>
      <c r="R375" s="247"/>
      <c r="S375" s="247"/>
      <c r="T375" s="247"/>
      <c r="U375" s="247"/>
    </row>
    <row r="376" spans="2:21">
      <c r="B376" s="251"/>
      <c r="C376" s="252"/>
      <c r="D376" s="1208" t="s">
        <v>582</v>
      </c>
      <c r="E376" s="1208"/>
      <c r="F376" s="1208"/>
      <c r="G376" s="1208"/>
      <c r="H376" s="1208"/>
      <c r="I376" s="1208"/>
      <c r="J376" s="1208"/>
      <c r="K376" s="1208"/>
      <c r="L376" s="1208"/>
      <c r="M376" s="247"/>
      <c r="N376" s="247"/>
      <c r="O376" s="247"/>
      <c r="P376" s="247"/>
      <c r="Q376" s="247"/>
      <c r="R376" s="247"/>
      <c r="S376" s="247"/>
      <c r="T376" s="247"/>
      <c r="U376" s="247"/>
    </row>
    <row r="377" spans="2:21">
      <c r="B377" s="251"/>
      <c r="C377" s="252"/>
      <c r="D377" s="1208"/>
      <c r="E377" s="1208"/>
      <c r="F377" s="1208"/>
      <c r="G377" s="1208"/>
      <c r="H377" s="1208"/>
      <c r="I377" s="1208"/>
      <c r="J377" s="1208"/>
      <c r="K377" s="1208"/>
      <c r="L377" s="1208"/>
      <c r="M377" s="247"/>
      <c r="N377" s="247"/>
      <c r="O377" s="247"/>
      <c r="P377" s="247"/>
      <c r="Q377" s="247"/>
      <c r="R377" s="247"/>
      <c r="S377" s="247"/>
      <c r="T377" s="247"/>
      <c r="U377" s="247"/>
    </row>
    <row r="378" spans="2:21">
      <c r="B378" s="251"/>
      <c r="C378" s="252"/>
      <c r="D378" s="1208"/>
      <c r="E378" s="1208"/>
      <c r="F378" s="1208"/>
      <c r="G378" s="1208"/>
      <c r="H378" s="1208"/>
      <c r="I378" s="1208"/>
      <c r="J378" s="1208"/>
      <c r="K378" s="1208"/>
      <c r="L378" s="1208"/>
      <c r="M378" s="247"/>
      <c r="N378" s="247"/>
      <c r="O378" s="247"/>
      <c r="P378" s="247"/>
      <c r="Q378" s="247"/>
      <c r="R378" s="247"/>
      <c r="S378" s="247"/>
      <c r="T378" s="247"/>
      <c r="U378" s="247"/>
    </row>
    <row r="379" spans="2:21">
      <c r="B379" s="251" t="s">
        <v>494</v>
      </c>
      <c r="C379" s="377"/>
      <c r="D379" s="1208" t="s">
        <v>751</v>
      </c>
      <c r="E379" s="1208"/>
      <c r="F379" s="1208"/>
      <c r="G379" s="1208"/>
      <c r="H379" s="1208"/>
      <c r="I379" s="1208"/>
      <c r="J379" s="1208"/>
      <c r="K379" s="1208"/>
      <c r="L379" s="1208"/>
      <c r="M379" s="247"/>
      <c r="N379" s="247"/>
      <c r="O379" s="247"/>
      <c r="P379" s="247"/>
      <c r="Q379" s="247"/>
      <c r="R379" s="247"/>
      <c r="S379" s="247"/>
      <c r="T379" s="247"/>
      <c r="U379" s="247"/>
    </row>
    <row r="380" spans="2:21" ht="64.5" customHeight="1">
      <c r="B380" s="251"/>
      <c r="C380" s="252"/>
      <c r="D380" s="1208"/>
      <c r="E380" s="1208"/>
      <c r="F380" s="1208"/>
      <c r="G380" s="1208"/>
      <c r="H380" s="1208"/>
      <c r="I380" s="1208"/>
      <c r="J380" s="1208"/>
      <c r="K380" s="1208"/>
      <c r="L380" s="1208"/>
      <c r="M380" s="247"/>
      <c r="N380" s="247"/>
      <c r="O380" s="247"/>
      <c r="P380" s="247"/>
      <c r="Q380" s="247"/>
      <c r="R380" s="247"/>
      <c r="S380" s="247"/>
      <c r="T380" s="247"/>
      <c r="U380" s="247"/>
    </row>
    <row r="381" spans="2:21">
      <c r="B381" s="251" t="s">
        <v>584</v>
      </c>
      <c r="C381" s="252"/>
      <c r="D381" s="1208" t="s">
        <v>583</v>
      </c>
      <c r="E381" s="1208"/>
      <c r="F381" s="1208"/>
      <c r="G381" s="1208"/>
      <c r="H381" s="1208"/>
      <c r="I381" s="1208"/>
      <c r="J381" s="1208"/>
      <c r="K381" s="1208"/>
      <c r="L381" s="1208"/>
      <c r="M381" s="247"/>
      <c r="N381" s="247"/>
      <c r="O381" s="247"/>
      <c r="P381" s="247"/>
      <c r="Q381" s="247"/>
      <c r="R381" s="247"/>
      <c r="S381" s="247"/>
      <c r="T381" s="247"/>
      <c r="U381" s="247"/>
    </row>
    <row r="382" spans="2:21">
      <c r="B382" s="251"/>
      <c r="C382" s="252"/>
      <c r="D382" s="1208"/>
      <c r="E382" s="1208"/>
      <c r="F382" s="1208"/>
      <c r="G382" s="1208"/>
      <c r="H382" s="1208"/>
      <c r="I382" s="1208"/>
      <c r="J382" s="1208"/>
      <c r="K382" s="1208"/>
      <c r="L382" s="1208"/>
      <c r="M382" s="247"/>
      <c r="N382" s="247"/>
      <c r="O382" s="247"/>
      <c r="P382" s="247"/>
      <c r="Q382" s="247"/>
      <c r="R382" s="247"/>
      <c r="S382" s="247"/>
      <c r="T382" s="247"/>
      <c r="U382" s="247"/>
    </row>
    <row r="383" spans="2:21">
      <c r="B383" s="251" t="s">
        <v>586</v>
      </c>
      <c r="C383" s="252"/>
      <c r="D383" s="1213" t="s">
        <v>587</v>
      </c>
      <c r="E383" s="1213"/>
      <c r="F383" s="1213"/>
      <c r="G383" s="1213"/>
      <c r="H383" s="1213"/>
      <c r="I383" s="1213"/>
      <c r="J383" s="1213"/>
      <c r="K383" s="1213"/>
      <c r="L383" s="1213"/>
      <c r="M383" s="247"/>
      <c r="N383" s="247"/>
      <c r="O383" s="247"/>
      <c r="P383" s="247"/>
      <c r="Q383" s="247"/>
      <c r="R383" s="247"/>
      <c r="S383" s="247"/>
      <c r="T383" s="247"/>
      <c r="U383" s="247"/>
    </row>
    <row r="384" spans="2:21">
      <c r="B384" s="251" t="s">
        <v>585</v>
      </c>
      <c r="C384" s="252"/>
      <c r="D384" s="1208" t="s">
        <v>588</v>
      </c>
      <c r="E384" s="1208"/>
      <c r="F384" s="1208"/>
      <c r="G384" s="1208"/>
      <c r="H384" s="1208"/>
      <c r="I384" s="1208"/>
      <c r="J384" s="1208"/>
      <c r="K384" s="1208"/>
      <c r="L384" s="1208"/>
      <c r="M384" s="247"/>
      <c r="N384" s="247"/>
      <c r="O384" s="247"/>
      <c r="P384" s="247"/>
      <c r="Q384" s="247"/>
      <c r="R384" s="247"/>
      <c r="S384" s="247"/>
      <c r="T384" s="247"/>
      <c r="U384" s="247"/>
    </row>
    <row r="385" spans="2:21">
      <c r="B385" s="251"/>
      <c r="C385" s="252"/>
      <c r="D385" s="1208"/>
      <c r="E385" s="1208"/>
      <c r="F385" s="1208"/>
      <c r="G385" s="1208"/>
      <c r="H385" s="1208"/>
      <c r="I385" s="1208"/>
      <c r="J385" s="1208"/>
      <c r="K385" s="1208"/>
      <c r="L385" s="1208"/>
      <c r="M385" s="247"/>
      <c r="N385" s="247"/>
      <c r="O385" s="247"/>
      <c r="P385" s="247"/>
      <c r="Q385" s="247"/>
      <c r="R385" s="247"/>
      <c r="S385" s="247"/>
      <c r="T385" s="247"/>
      <c r="U385" s="247"/>
    </row>
    <row r="386" spans="2:21">
      <c r="B386"/>
      <c r="C386"/>
      <c r="D386" s="1208"/>
      <c r="E386" s="1208"/>
      <c r="F386" s="1208"/>
      <c r="G386" s="1208"/>
      <c r="H386" s="1208"/>
      <c r="I386" s="1208"/>
      <c r="J386" s="1208"/>
      <c r="K386" s="1208"/>
      <c r="L386" s="1208"/>
      <c r="M386" s="247"/>
      <c r="N386" s="247"/>
      <c r="O386" s="247"/>
      <c r="P386" s="247"/>
      <c r="Q386" s="247"/>
      <c r="R386" s="247"/>
      <c r="S386" s="247"/>
      <c r="T386" s="247"/>
      <c r="U386" s="247"/>
    </row>
    <row r="387" spans="2:21" ht="18" customHeight="1">
      <c r="B387" s="28" t="s">
        <v>623</v>
      </c>
      <c r="C387" s="817"/>
      <c r="D387" s="2" t="s">
        <v>855</v>
      </c>
      <c r="E387" s="4"/>
      <c r="F387" s="4"/>
      <c r="G387" s="4"/>
      <c r="H387"/>
      <c r="M387" s="247"/>
      <c r="N387" s="247"/>
      <c r="O387" s="247"/>
      <c r="P387" s="247"/>
      <c r="Q387" s="247"/>
      <c r="R387" s="247"/>
      <c r="S387" s="247"/>
      <c r="T387" s="247"/>
      <c r="U387" s="247"/>
    </row>
    <row r="388" spans="2:21">
      <c r="B388"/>
      <c r="C388"/>
      <c r="D388"/>
      <c r="E388"/>
      <c r="F388"/>
      <c r="G388"/>
      <c r="H388"/>
      <c r="M388" s="247"/>
      <c r="N388" s="247"/>
      <c r="O388" s="247"/>
      <c r="P388" s="247"/>
      <c r="Q388" s="247"/>
      <c r="R388" s="247"/>
      <c r="S388" s="247"/>
      <c r="T388" s="247"/>
      <c r="U388" s="247"/>
    </row>
    <row r="389" spans="2:21">
      <c r="B389" s="28" t="s">
        <v>950</v>
      </c>
      <c r="C389"/>
      <c r="D389" s="1207" t="s">
        <v>951</v>
      </c>
      <c r="E389" s="1207"/>
      <c r="F389" s="1207"/>
      <c r="G389" s="1207"/>
      <c r="H389" s="1207"/>
      <c r="I389" s="1207"/>
      <c r="J389" s="1207"/>
      <c r="K389" s="1207"/>
      <c r="L389" s="1207"/>
      <c r="M389" s="247"/>
      <c r="N389" s="247"/>
      <c r="O389" s="247"/>
      <c r="P389" s="247"/>
      <c r="Q389" s="247"/>
      <c r="R389" s="247"/>
      <c r="S389" s="247"/>
      <c r="T389" s="247"/>
      <c r="U389" s="247"/>
    </row>
    <row r="390" spans="2:21">
      <c r="B390"/>
      <c r="C390"/>
      <c r="D390" s="1207"/>
      <c r="E390" s="1207"/>
      <c r="F390" s="1207"/>
      <c r="G390" s="1207"/>
      <c r="H390" s="1207"/>
      <c r="I390" s="1207"/>
      <c r="J390" s="1207"/>
      <c r="K390" s="1207"/>
      <c r="L390" s="1207"/>
      <c r="M390" s="247"/>
      <c r="N390" s="247"/>
      <c r="O390" s="247"/>
      <c r="P390" s="247"/>
      <c r="Q390" s="247"/>
      <c r="R390" s="247"/>
      <c r="S390" s="247"/>
      <c r="T390" s="247"/>
      <c r="U390" s="247"/>
    </row>
    <row r="392" spans="2:21">
      <c r="B392" s="369" t="s">
        <v>1346</v>
      </c>
      <c r="D392" s="243" t="s">
        <v>1347</v>
      </c>
    </row>
    <row r="394" spans="2:21">
      <c r="B394" s="369" t="s">
        <v>1348</v>
      </c>
      <c r="D394" s="243" t="s">
        <v>1349</v>
      </c>
    </row>
  </sheetData>
  <mergeCells count="26">
    <mergeCell ref="H269:I269"/>
    <mergeCell ref="D299:K300"/>
    <mergeCell ref="D336:K337"/>
    <mergeCell ref="D326:J327"/>
    <mergeCell ref="D344:L346"/>
    <mergeCell ref="D332:J334"/>
    <mergeCell ref="D319:K321"/>
    <mergeCell ref="E185:E186"/>
    <mergeCell ref="B24:I25"/>
    <mergeCell ref="I60:J60"/>
    <mergeCell ref="I63:J63"/>
    <mergeCell ref="I140:J140"/>
    <mergeCell ref="I143:J143"/>
    <mergeCell ref="D42:L42"/>
    <mergeCell ref="D389:L390"/>
    <mergeCell ref="D384:L386"/>
    <mergeCell ref="D296:L296"/>
    <mergeCell ref="D308:L308"/>
    <mergeCell ref="D304:L305"/>
    <mergeCell ref="D339:L342"/>
    <mergeCell ref="D368:L373"/>
    <mergeCell ref="D376:L378"/>
    <mergeCell ref="D323:K325"/>
    <mergeCell ref="D379:L380"/>
    <mergeCell ref="D381:L382"/>
    <mergeCell ref="D383:L383"/>
  </mergeCells>
  <phoneticPr fontId="0" type="noConversion"/>
  <pageMargins left="0.26" right="0.37" top="1" bottom="1" header="0.86" footer="0.5"/>
  <pageSetup scale="35" fitToHeight="5" orientation="portrait" r:id="rId1"/>
  <headerFooter alignWithMargins="0">
    <oddHeader>&amp;R&amp;"Arial,Bold"Formula Rate 
&amp;A
Page &amp;P of &amp;N</oddHeader>
  </headerFooter>
  <rowBreaks count="4" manualBreakCount="4">
    <brk id="51" max="11" man="1"/>
    <brk id="132" max="11" man="1"/>
    <brk id="222" max="11" man="1"/>
    <brk id="276"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V40"/>
  <sheetViews>
    <sheetView tabSelected="1" view="pageBreakPreview" topLeftCell="A6" zoomScaleNormal="100" zoomScaleSheetLayoutView="100" workbookViewId="0">
      <selection activeCell="D11" sqref="D11"/>
    </sheetView>
  </sheetViews>
  <sheetFormatPr defaultColWidth="9.140625" defaultRowHeight="15"/>
  <cols>
    <col min="1" max="1" width="9.42578125" style="381" customWidth="1"/>
    <col min="2" max="2" width="6.5703125" style="381" customWidth="1"/>
    <col min="3" max="8" width="14.5703125" style="381" customWidth="1"/>
    <col min="9" max="9" width="14.85546875" style="381" bestFit="1" customWidth="1"/>
    <col min="10" max="11" width="16.5703125" style="381" bestFit="1" customWidth="1"/>
    <col min="12" max="13" width="22.140625" style="381" bestFit="1" customWidth="1"/>
    <col min="14" max="14" width="8.42578125" style="381" customWidth="1"/>
    <col min="15" max="38" width="12.5703125" style="381" customWidth="1"/>
    <col min="39" max="16384" width="9.140625" style="381"/>
  </cols>
  <sheetData>
    <row r="1" spans="1:22" ht="15.75">
      <c r="A1" s="657" t="s">
        <v>114</v>
      </c>
    </row>
    <row r="2" spans="1:22" ht="15.75">
      <c r="A2" s="657" t="s">
        <v>114</v>
      </c>
    </row>
    <row r="3" spans="1:22">
      <c r="A3" s="1234" t="str">
        <f>+'WS C  - Working Capital'!A3:L3</f>
        <v>AEP East Companies</v>
      </c>
      <c r="B3" s="1234"/>
      <c r="C3" s="1234"/>
      <c r="D3" s="1234"/>
      <c r="E3" s="1234"/>
      <c r="F3" s="1234"/>
      <c r="G3" s="1234"/>
      <c r="H3" s="1234"/>
      <c r="I3" s="1234"/>
      <c r="J3" s="1234"/>
      <c r="K3" s="1234"/>
      <c r="L3" s="28"/>
      <c r="M3" s="28"/>
      <c r="N3" s="28"/>
      <c r="O3" s="28"/>
    </row>
    <row r="4" spans="1:22">
      <c r="A4" s="1235" t="str">
        <f>"Cost of Service Formula Rate Using Actual/Projected FF1 Balances"</f>
        <v>Cost of Service Formula Rate Using Actual/Projected FF1 Balances</v>
      </c>
      <c r="B4" s="1235"/>
      <c r="C4" s="1235"/>
      <c r="D4" s="1235"/>
      <c r="E4" s="1235"/>
      <c r="F4" s="1235"/>
      <c r="G4" s="1235"/>
      <c r="H4" s="1235"/>
      <c r="I4" s="1235"/>
      <c r="J4" s="1235"/>
      <c r="K4" s="1235"/>
      <c r="L4" s="75"/>
      <c r="M4" s="75"/>
      <c r="N4" s="75"/>
      <c r="O4" s="75"/>
    </row>
    <row r="5" spans="1:22">
      <c r="A5" s="1235" t="s">
        <v>237</v>
      </c>
      <c r="B5" s="1235"/>
      <c r="C5" s="1235"/>
      <c r="D5" s="1235"/>
      <c r="E5" s="1235"/>
      <c r="F5" s="1235"/>
      <c r="G5" s="1235"/>
      <c r="H5" s="1235"/>
      <c r="I5" s="1235"/>
      <c r="J5" s="1235"/>
      <c r="K5" s="1235"/>
      <c r="L5" s="74"/>
      <c r="M5" s="74"/>
      <c r="N5" s="74"/>
      <c r="O5" s="74"/>
    </row>
    <row r="6" spans="1:22">
      <c r="A6" s="1243" t="str">
        <f>TCOS!F9</f>
        <v>Ohio Power Company</v>
      </c>
      <c r="B6" s="1243"/>
      <c r="C6" s="1243"/>
      <c r="D6" s="1243"/>
      <c r="E6" s="1243"/>
      <c r="F6" s="1243"/>
      <c r="G6" s="1243"/>
      <c r="H6" s="1243"/>
      <c r="I6" s="1243"/>
      <c r="J6" s="1243"/>
      <c r="K6" s="1243"/>
      <c r="L6" s="3"/>
      <c r="M6" s="3"/>
      <c r="N6" s="3"/>
      <c r="O6" s="3"/>
    </row>
    <row r="8" spans="1:22" ht="18">
      <c r="A8" s="1264"/>
      <c r="B8" s="1264"/>
      <c r="C8" s="1264"/>
      <c r="D8" s="1264"/>
      <c r="E8" s="1264"/>
      <c r="F8" s="1264"/>
      <c r="G8" s="1264"/>
      <c r="H8" s="1264"/>
      <c r="I8" s="1264"/>
      <c r="J8" s="1264"/>
      <c r="K8" s="1264"/>
      <c r="L8" s="382"/>
      <c r="M8" s="383"/>
    </row>
    <row r="9" spans="1:22" ht="18">
      <c r="A9" s="126"/>
      <c r="B9" s="126"/>
      <c r="C9" s="126"/>
      <c r="D9" s="126"/>
      <c r="E9" s="126"/>
      <c r="F9" s="126"/>
      <c r="G9" s="126"/>
      <c r="H9" s="126"/>
      <c r="I9" s="126"/>
      <c r="J9" s="126"/>
      <c r="K9" s="126"/>
      <c r="L9" s="382"/>
      <c r="M9" s="383"/>
    </row>
    <row r="10" spans="1:22" ht="15.75">
      <c r="A10" s="384" t="s">
        <v>169</v>
      </c>
      <c r="B10" s="382"/>
      <c r="C10" s="27"/>
      <c r="D10" s="27"/>
      <c r="E10" s="27"/>
      <c r="F10" s="27"/>
      <c r="G10" s="385"/>
      <c r="H10" s="385"/>
      <c r="I10" s="384" t="s">
        <v>182</v>
      </c>
      <c r="J10" s="384" t="s">
        <v>28</v>
      </c>
      <c r="K10" s="386"/>
      <c r="N10" s="387"/>
      <c r="P10" s="387"/>
      <c r="R10" s="387"/>
      <c r="S10" s="387"/>
      <c r="T10" s="387"/>
      <c r="U10" s="2"/>
      <c r="V10" s="2"/>
    </row>
    <row r="11" spans="1:22" ht="15.75">
      <c r="A11" s="384" t="s">
        <v>106</v>
      </c>
      <c r="B11" s="1265" t="s">
        <v>167</v>
      </c>
      <c r="C11" s="1265"/>
      <c r="D11" s="1265"/>
      <c r="E11" s="1265"/>
      <c r="F11" s="1265"/>
      <c r="G11" s="1265"/>
      <c r="H11" s="1265"/>
      <c r="I11" s="384" t="s">
        <v>183</v>
      </c>
      <c r="J11" s="384" t="s">
        <v>115</v>
      </c>
      <c r="K11" s="384" t="s">
        <v>115</v>
      </c>
      <c r="N11" s="387"/>
      <c r="O11" s="387"/>
      <c r="P11" s="387"/>
      <c r="Q11" s="387"/>
      <c r="R11" s="387"/>
      <c r="S11" s="387"/>
      <c r="T11" s="388"/>
      <c r="U11" s="2"/>
      <c r="V11" s="2"/>
    </row>
    <row r="12" spans="1:22" ht="15.75">
      <c r="A12" s="385"/>
      <c r="B12" s="389"/>
      <c r="C12" s="382"/>
      <c r="D12" s="385"/>
      <c r="E12" s="385"/>
      <c r="F12" s="385"/>
      <c r="G12" s="385"/>
      <c r="H12" s="385"/>
      <c r="I12" s="385"/>
      <c r="J12" s="385"/>
      <c r="K12" s="390"/>
      <c r="N12" s="387"/>
      <c r="O12" s="387"/>
      <c r="P12" s="387"/>
      <c r="Q12" s="387"/>
      <c r="R12" s="387"/>
      <c r="S12" s="387"/>
      <c r="T12" s="388"/>
      <c r="U12" s="2"/>
      <c r="V12" s="2"/>
    </row>
    <row r="13" spans="1:22" s="395" customFormat="1" ht="12.75">
      <c r="A13" s="391">
        <v>1</v>
      </c>
      <c r="B13" s="392" t="s">
        <v>482</v>
      </c>
      <c r="C13" s="4"/>
      <c r="D13" s="393"/>
      <c r="E13" s="393"/>
      <c r="F13" s="393"/>
      <c r="G13" s="393"/>
      <c r="H13" s="393"/>
      <c r="I13" s="626">
        <v>6727624.1399999997</v>
      </c>
      <c r="J13" s="394">
        <f>+I13-K12</f>
        <v>6727624.1399999997</v>
      </c>
      <c r="K13" s="626">
        <v>0</v>
      </c>
      <c r="N13" s="4"/>
      <c r="O13" s="4"/>
      <c r="P13" s="4"/>
      <c r="Q13" s="4"/>
      <c r="R13" s="4"/>
      <c r="S13" s="4"/>
      <c r="T13" s="79"/>
      <c r="U13" s="4"/>
      <c r="V13" s="4"/>
    </row>
    <row r="14" spans="1:22" s="395" customFormat="1" ht="12.75">
      <c r="A14" s="396"/>
      <c r="B14" s="397"/>
      <c r="C14" s="398"/>
      <c r="D14" s="399"/>
      <c r="E14" s="399"/>
      <c r="F14" s="399"/>
      <c r="G14" s="399"/>
      <c r="H14" s="393"/>
      <c r="I14" s="400"/>
      <c r="J14" s="393"/>
      <c r="K14" s="400"/>
      <c r="N14" s="4"/>
      <c r="O14" s="4"/>
      <c r="P14" s="4"/>
      <c r="Q14" s="4"/>
      <c r="R14" s="4"/>
      <c r="S14" s="4"/>
      <c r="T14" s="79"/>
      <c r="U14" s="4"/>
      <c r="V14" s="4"/>
    </row>
    <row r="15" spans="1:22" s="395" customFormat="1" ht="12.75">
      <c r="A15" s="391">
        <f>+A13+1</f>
        <v>2</v>
      </c>
      <c r="B15" s="392" t="s">
        <v>483</v>
      </c>
      <c r="C15" s="4"/>
      <c r="D15" s="393"/>
      <c r="E15" s="393"/>
      <c r="F15" s="393"/>
      <c r="G15" s="393"/>
      <c r="H15" s="393"/>
      <c r="I15" s="626">
        <v>2320802.73</v>
      </c>
      <c r="J15" s="394">
        <f>+I15-K15</f>
        <v>2320802.73</v>
      </c>
      <c r="K15" s="626">
        <v>0</v>
      </c>
      <c r="N15" s="4"/>
      <c r="O15" s="4"/>
      <c r="P15" s="4"/>
      <c r="Q15" s="4"/>
      <c r="R15" s="4"/>
      <c r="S15" s="4"/>
      <c r="T15" s="4"/>
      <c r="U15" s="4"/>
      <c r="V15" s="4"/>
    </row>
    <row r="16" spans="1:22" s="395" customFormat="1" ht="12.75">
      <c r="A16" s="396"/>
      <c r="B16" s="397"/>
      <c r="C16" s="398"/>
      <c r="D16" s="399"/>
      <c r="E16" s="399"/>
      <c r="F16" s="399"/>
      <c r="G16" s="399"/>
      <c r="H16" s="393"/>
      <c r="I16" s="393"/>
      <c r="J16" s="393"/>
      <c r="K16" s="393"/>
      <c r="N16" s="4"/>
      <c r="O16" s="4"/>
      <c r="P16" s="4"/>
      <c r="Q16" s="4"/>
      <c r="R16" s="4"/>
      <c r="S16" s="4"/>
      <c r="T16" s="4"/>
      <c r="U16" s="4"/>
      <c r="V16" s="4"/>
    </row>
    <row r="17" spans="1:22" s="395" customFormat="1" ht="12.75">
      <c r="A17" s="391">
        <f>+A15+1</f>
        <v>3</v>
      </c>
      <c r="B17" s="392" t="s">
        <v>484</v>
      </c>
      <c r="C17" s="4"/>
      <c r="D17" s="393"/>
      <c r="E17" s="393"/>
      <c r="F17" s="393"/>
      <c r="G17" s="393"/>
      <c r="H17" s="393"/>
      <c r="I17" s="626">
        <v>59290337.989999995</v>
      </c>
      <c r="J17" s="394">
        <f>+I17-K17</f>
        <v>41907496.539999992</v>
      </c>
      <c r="K17" s="626">
        <v>17382841.450000003</v>
      </c>
      <c r="N17" s="4"/>
      <c r="O17" s="4"/>
      <c r="P17" s="4"/>
      <c r="Q17" s="4"/>
      <c r="R17" s="4"/>
      <c r="S17" s="4"/>
      <c r="T17" s="4"/>
      <c r="U17" s="4"/>
      <c r="V17" s="4"/>
    </row>
    <row r="18" spans="1:22" s="395" customFormat="1" ht="12.75">
      <c r="A18" s="396"/>
      <c r="B18" s="393"/>
      <c r="C18" s="4"/>
      <c r="D18" s="393"/>
      <c r="E18" s="393"/>
      <c r="F18" s="393"/>
      <c r="G18" s="401"/>
      <c r="H18" s="393"/>
      <c r="I18" s="393"/>
      <c r="J18" s="393"/>
      <c r="K18" s="393"/>
      <c r="N18" s="4"/>
      <c r="O18" s="4"/>
      <c r="P18" s="4"/>
      <c r="Q18" s="4"/>
      <c r="R18" s="4"/>
      <c r="S18" s="4"/>
      <c r="T18" s="4"/>
      <c r="U18" s="4"/>
      <c r="V18" s="4"/>
    </row>
    <row r="19" spans="1:22" s="395" customFormat="1" ht="12.75">
      <c r="A19" s="391">
        <f>+A17+1</f>
        <v>4</v>
      </c>
      <c r="B19" s="392" t="s">
        <v>754</v>
      </c>
      <c r="C19" s="4"/>
      <c r="D19" s="393"/>
      <c r="E19" s="393"/>
      <c r="F19" s="393"/>
      <c r="G19" s="401"/>
      <c r="H19" s="393"/>
      <c r="I19" s="626">
        <v>3601229.27</v>
      </c>
      <c r="J19" s="394">
        <f>+I19-K19</f>
        <v>2932391.94</v>
      </c>
      <c r="K19" s="626">
        <v>668837.32999999996</v>
      </c>
      <c r="N19" s="403"/>
      <c r="O19" s="4"/>
      <c r="P19" s="4"/>
      <c r="Q19" s="4"/>
      <c r="R19" s="4"/>
      <c r="S19" s="4"/>
      <c r="T19" s="4"/>
      <c r="U19" s="4"/>
      <c r="V19" s="4"/>
    </row>
    <row r="20" spans="1:22" s="395" customFormat="1" ht="12.75">
      <c r="A20" s="396"/>
      <c r="B20" s="392"/>
      <c r="C20" s="4"/>
      <c r="D20" s="393"/>
      <c r="E20" s="393"/>
      <c r="F20" s="393"/>
      <c r="G20" s="401"/>
      <c r="H20" s="393"/>
      <c r="I20" s="4"/>
      <c r="J20" s="4"/>
      <c r="K20" s="4"/>
      <c r="L20" s="4"/>
      <c r="N20" s="403"/>
      <c r="O20" s="4"/>
      <c r="P20" s="4"/>
      <c r="Q20" s="4"/>
      <c r="R20" s="4"/>
      <c r="S20" s="4"/>
      <c r="T20" s="4"/>
      <c r="U20" s="4"/>
      <c r="V20" s="4"/>
    </row>
    <row r="21" spans="1:22" s="395" customFormat="1" ht="12.75">
      <c r="A21" s="391">
        <f>+A19+1</f>
        <v>5</v>
      </c>
      <c r="B21" s="392" t="s">
        <v>755</v>
      </c>
      <c r="C21" s="4"/>
      <c r="D21" s="393"/>
      <c r="E21" s="393"/>
      <c r="F21" s="393"/>
      <c r="G21" s="401"/>
      <c r="H21" s="393"/>
      <c r="I21" s="626">
        <v>144124462.79000002</v>
      </c>
      <c r="J21" s="394">
        <f>+I21-K21</f>
        <v>143005854.32000002</v>
      </c>
      <c r="K21" s="626">
        <v>1118608.47</v>
      </c>
      <c r="N21" s="403"/>
      <c r="O21" s="4"/>
      <c r="P21" s="4"/>
      <c r="Q21" s="4"/>
      <c r="R21" s="4"/>
      <c r="S21" s="4"/>
      <c r="T21" s="4"/>
      <c r="U21" s="4"/>
      <c r="V21" s="4"/>
    </row>
    <row r="22" spans="1:22" s="395" customFormat="1" ht="12.75">
      <c r="A22" s="391"/>
      <c r="B22" s="392"/>
      <c r="C22" s="4"/>
      <c r="D22" s="393"/>
      <c r="E22" s="393"/>
      <c r="F22" s="393"/>
      <c r="G22" s="401"/>
      <c r="H22" s="393"/>
      <c r="I22" s="656"/>
      <c r="J22" s="394"/>
      <c r="K22" s="656"/>
      <c r="N22" s="403"/>
      <c r="O22" s="4"/>
      <c r="P22" s="4"/>
      <c r="Q22" s="4"/>
      <c r="R22" s="4"/>
      <c r="S22" s="4"/>
      <c r="T22" s="4"/>
      <c r="U22" s="4"/>
      <c r="V22" s="4"/>
    </row>
    <row r="23" spans="1:22" s="395" customFormat="1" ht="12.75">
      <c r="A23" s="391" t="s">
        <v>615</v>
      </c>
      <c r="B23" s="392" t="s">
        <v>618</v>
      </c>
      <c r="C23" s="4"/>
      <c r="D23" s="393"/>
      <c r="E23" s="393"/>
      <c r="F23" s="393"/>
      <c r="G23" s="401"/>
      <c r="H23" s="393"/>
      <c r="I23" s="626">
        <v>26400</v>
      </c>
      <c r="J23" s="394">
        <v>0</v>
      </c>
      <c r="K23" s="626">
        <v>26400</v>
      </c>
      <c r="N23" s="403"/>
      <c r="O23" s="4"/>
      <c r="P23" s="4"/>
      <c r="Q23" s="4"/>
      <c r="R23" s="4"/>
      <c r="S23" s="4"/>
      <c r="T23" s="4"/>
      <c r="U23" s="4"/>
      <c r="V23" s="4"/>
    </row>
    <row r="24" spans="1:22" s="395" customFormat="1" ht="12.75">
      <c r="A24" s="391"/>
      <c r="B24" s="392"/>
      <c r="C24" s="4"/>
      <c r="D24" s="393"/>
      <c r="E24" s="393"/>
      <c r="F24" s="393"/>
      <c r="G24" s="401"/>
      <c r="H24" s="393"/>
      <c r="I24" s="656"/>
      <c r="J24" s="394"/>
      <c r="K24" s="656"/>
      <c r="N24" s="403"/>
      <c r="O24" s="4"/>
      <c r="P24" s="4"/>
      <c r="Q24" s="4"/>
      <c r="R24" s="4"/>
      <c r="S24" s="4"/>
      <c r="T24" s="4"/>
      <c r="U24" s="4"/>
      <c r="V24" s="4"/>
    </row>
    <row r="25" spans="1:22" s="395" customFormat="1" ht="12.75">
      <c r="A25" s="391" t="s">
        <v>616</v>
      </c>
      <c r="B25" s="392" t="s">
        <v>617</v>
      </c>
      <c r="C25" s="4"/>
      <c r="D25" s="393"/>
      <c r="E25" s="393"/>
      <c r="F25" s="393"/>
      <c r="G25" s="401"/>
      <c r="H25" s="393"/>
      <c r="I25" s="626"/>
      <c r="J25" s="394">
        <v>0</v>
      </c>
      <c r="K25" s="626"/>
      <c r="N25" s="403"/>
      <c r="O25" s="4"/>
      <c r="P25" s="4"/>
      <c r="Q25" s="4"/>
      <c r="R25" s="4"/>
      <c r="S25" s="4"/>
      <c r="T25" s="4"/>
      <c r="U25" s="4"/>
      <c r="V25" s="4"/>
    </row>
    <row r="26" spans="1:22" s="395" customFormat="1" ht="12.75">
      <c r="A26" s="391"/>
      <c r="B26" s="392"/>
      <c r="C26" s="4"/>
      <c r="D26" s="393"/>
      <c r="E26" s="393"/>
      <c r="F26" s="393"/>
      <c r="G26" s="401"/>
      <c r="H26" s="393"/>
      <c r="I26" s="4"/>
      <c r="J26" s="4"/>
      <c r="N26" s="4"/>
      <c r="O26" s="4"/>
      <c r="P26" s="4"/>
      <c r="Q26" s="4"/>
      <c r="R26" s="4"/>
      <c r="S26" s="4"/>
      <c r="T26" s="4"/>
      <c r="U26" s="4"/>
      <c r="V26" s="4"/>
    </row>
    <row r="27" spans="1:22" s="395" customFormat="1" ht="12.75">
      <c r="A27" s="391">
        <f>+A21+1</f>
        <v>6</v>
      </c>
      <c r="B27" s="392" t="s">
        <v>74</v>
      </c>
      <c r="C27" s="4"/>
      <c r="D27" s="393"/>
      <c r="E27" s="393"/>
      <c r="F27" s="393"/>
      <c r="G27" s="401"/>
      <c r="H27" s="393"/>
      <c r="I27" s="404">
        <f>+I21+I19+I17+I15+I13+I23+I25</f>
        <v>216090856.91999999</v>
      </c>
      <c r="J27" s="404">
        <f>+J21+J19+J17+J15+J13+J23+J25</f>
        <v>196894169.66999999</v>
      </c>
      <c r="K27" s="404">
        <f>+K21+K19+K17+K15+K13+K23+K25</f>
        <v>19196687.250000004</v>
      </c>
      <c r="N27" s="4"/>
      <c r="O27" s="4"/>
      <c r="P27" s="4"/>
      <c r="Q27" s="4"/>
      <c r="R27" s="4"/>
      <c r="S27" s="4"/>
      <c r="T27" s="4"/>
      <c r="U27" s="4"/>
      <c r="V27" s="4"/>
    </row>
    <row r="28" spans="1:22" s="395" customFormat="1" ht="12.75">
      <c r="A28" s="391"/>
      <c r="B28" s="392"/>
      <c r="C28" s="4"/>
      <c r="D28" s="393"/>
      <c r="E28" s="393"/>
      <c r="F28" s="393"/>
      <c r="G28" s="401"/>
      <c r="H28" s="393"/>
      <c r="I28" s="4"/>
      <c r="J28" s="4"/>
      <c r="K28" s="4"/>
      <c r="N28" s="4"/>
      <c r="O28" s="4"/>
      <c r="P28" s="4"/>
      <c r="Q28" s="4"/>
      <c r="R28" s="4"/>
      <c r="S28" s="4"/>
      <c r="T28" s="4"/>
      <c r="U28" s="4"/>
      <c r="V28" s="4"/>
    </row>
    <row r="29" spans="1:22" s="395" customFormat="1" ht="12.75">
      <c r="A29" s="391">
        <f>+A27+1</f>
        <v>7</v>
      </c>
      <c r="B29" s="1263" t="s">
        <v>485</v>
      </c>
      <c r="C29" s="1225"/>
      <c r="D29" s="1225"/>
      <c r="E29" s="1225"/>
      <c r="F29" s="1225"/>
      <c r="G29" s="1225"/>
      <c r="H29" s="393"/>
      <c r="I29" s="626"/>
      <c r="J29" s="394">
        <f>+I29-K29</f>
        <v>0</v>
      </c>
      <c r="K29" s="626"/>
      <c r="N29" s="4"/>
      <c r="O29" s="4"/>
      <c r="P29" s="4"/>
      <c r="Q29" s="4"/>
      <c r="R29" s="4"/>
      <c r="S29" s="4"/>
      <c r="T29" s="4"/>
      <c r="U29" s="4"/>
      <c r="V29" s="4"/>
    </row>
    <row r="30" spans="1:22" s="395" customFormat="1" ht="12.75">
      <c r="A30" s="79"/>
      <c r="B30" s="1225"/>
      <c r="C30" s="1225"/>
      <c r="D30" s="1225"/>
      <c r="E30" s="1225"/>
      <c r="F30" s="1225"/>
      <c r="G30" s="1225"/>
      <c r="H30" s="393"/>
      <c r="I30" s="394"/>
      <c r="J30" s="393"/>
      <c r="K30" s="394"/>
      <c r="N30" s="4"/>
      <c r="O30" s="4"/>
      <c r="P30" s="4"/>
      <c r="Q30" s="4"/>
      <c r="R30" s="4"/>
      <c r="S30" s="4"/>
      <c r="T30" s="4"/>
      <c r="U30" s="4"/>
      <c r="V30" s="4"/>
    </row>
    <row r="31" spans="1:22" s="395" customFormat="1" ht="12.75">
      <c r="A31" s="391">
        <f>+A29+1</f>
        <v>8</v>
      </c>
      <c r="B31" s="397" t="s">
        <v>215</v>
      </c>
      <c r="C31" s="398"/>
      <c r="D31" s="399"/>
      <c r="E31" s="399"/>
      <c r="F31" s="399"/>
      <c r="G31" s="402"/>
      <c r="H31" s="393"/>
      <c r="I31" s="405">
        <f>SUM(I27:I29)</f>
        <v>216090856.91999999</v>
      </c>
      <c r="J31" s="405">
        <f>SUM(J27:J29)</f>
        <v>196894169.66999999</v>
      </c>
      <c r="K31" s="405">
        <f>SUM(K27:K29)</f>
        <v>19196687.250000004</v>
      </c>
      <c r="N31" s="4"/>
      <c r="O31" s="4"/>
      <c r="P31" s="4"/>
      <c r="Q31" s="4"/>
      <c r="R31" s="4"/>
      <c r="S31" s="4"/>
      <c r="T31" s="4"/>
      <c r="U31" s="4"/>
      <c r="V31" s="4"/>
    </row>
    <row r="32" spans="1:22" s="395" customFormat="1" ht="12.75">
      <c r="A32" s="391"/>
      <c r="B32" s="397"/>
      <c r="C32" s="398"/>
      <c r="D32" s="399"/>
      <c r="E32" s="399"/>
      <c r="F32" s="399"/>
      <c r="G32" s="402"/>
      <c r="H32" s="393"/>
      <c r="I32" s="394"/>
      <c r="J32" s="394"/>
      <c r="K32" s="394"/>
      <c r="N32" s="4"/>
      <c r="O32" s="4"/>
      <c r="P32" s="4"/>
      <c r="Q32" s="4"/>
      <c r="R32" s="4"/>
      <c r="S32" s="4"/>
      <c r="T32" s="4"/>
      <c r="U32" s="4"/>
      <c r="V32" s="4"/>
    </row>
    <row r="33" spans="1:22" s="395" customFormat="1" ht="12.75">
      <c r="A33" s="391"/>
      <c r="B33" s="397"/>
      <c r="C33" s="398"/>
      <c r="D33" s="399"/>
      <c r="E33" s="399"/>
      <c r="F33" s="399"/>
      <c r="G33" s="402"/>
      <c r="H33" s="393"/>
      <c r="I33" s="394"/>
      <c r="J33" s="394"/>
      <c r="K33" s="394"/>
      <c r="N33" s="4"/>
      <c r="O33" s="4"/>
      <c r="P33" s="4"/>
      <c r="Q33" s="4"/>
      <c r="R33" s="4"/>
      <c r="S33" s="4"/>
      <c r="T33" s="4"/>
      <c r="U33" s="4"/>
      <c r="V33" s="4"/>
    </row>
    <row r="34" spans="1:22" s="395" customFormat="1" ht="12.75">
      <c r="A34" s="822"/>
      <c r="N34" s="4"/>
      <c r="O34" s="4"/>
      <c r="P34" s="4"/>
      <c r="Q34" s="4"/>
      <c r="R34" s="4"/>
      <c r="S34" s="4"/>
      <c r="T34" s="4"/>
      <c r="U34" s="4"/>
      <c r="V34" s="4"/>
    </row>
    <row r="35" spans="1:22">
      <c r="A35" s="823"/>
      <c r="B35" s="4"/>
      <c r="C35" s="392"/>
      <c r="D35" s="393"/>
      <c r="E35" s="393"/>
      <c r="F35" s="393"/>
      <c r="G35" s="401"/>
      <c r="H35" s="393"/>
      <c r="I35" s="393"/>
      <c r="J35" s="393"/>
      <c r="K35" s="393"/>
      <c r="L35" s="385"/>
      <c r="M35" s="406"/>
      <c r="N35" s="2"/>
      <c r="O35" s="27"/>
      <c r="P35" s="27"/>
      <c r="Q35" s="27"/>
      <c r="R35" s="27"/>
      <c r="S35" s="2"/>
      <c r="T35" s="2"/>
      <c r="U35" s="2"/>
      <c r="V35" s="2"/>
    </row>
    <row r="36" spans="1:22" ht="15" customHeight="1">
      <c r="A36" s="79" t="s">
        <v>499</v>
      </c>
      <c r="B36" s="1262" t="str">
        <f>"The total company data on this worksheet comes from the indicated FF1 source, or "&amp;A6&amp;"'s general ledger. The functional amounts identified as transmission revenue also come from the general ledger. "</f>
        <v xml:space="preserve">The total company data on this worksheet comes from the indicated FF1 source, or Ohio Power Company's general ledger. The functional amounts identified as transmission revenue also come from the general ledger. </v>
      </c>
      <c r="C36" s="1262"/>
      <c r="D36" s="1262"/>
      <c r="E36" s="1262"/>
      <c r="F36" s="1262"/>
      <c r="G36" s="1262"/>
      <c r="H36" s="1262"/>
      <c r="I36" s="1262"/>
      <c r="J36" s="1262"/>
      <c r="K36" s="4"/>
      <c r="L36" s="27"/>
      <c r="M36" s="27"/>
      <c r="N36" s="2"/>
      <c r="O36" s="27"/>
      <c r="P36" s="27"/>
      <c r="Q36" s="27"/>
      <c r="R36" s="27"/>
      <c r="S36" s="2"/>
      <c r="T36" s="387"/>
      <c r="U36" s="2"/>
      <c r="V36" s="2"/>
    </row>
    <row r="37" spans="1:22" ht="15.75">
      <c r="A37" s="79"/>
      <c r="B37" s="1262"/>
      <c r="C37" s="1262"/>
      <c r="D37" s="1262"/>
      <c r="E37" s="1262"/>
      <c r="F37" s="1262"/>
      <c r="G37" s="1262"/>
      <c r="H37" s="1262"/>
      <c r="I37" s="1262"/>
      <c r="J37" s="1262"/>
      <c r="K37" s="4"/>
      <c r="L37" s="2"/>
      <c r="M37" s="408"/>
      <c r="N37" s="408"/>
      <c r="O37" s="408"/>
      <c r="P37" s="408"/>
      <c r="Q37" s="408"/>
      <c r="R37" s="2"/>
      <c r="S37" s="2"/>
      <c r="T37" s="2"/>
      <c r="U37" s="2"/>
      <c r="V37" s="2"/>
    </row>
    <row r="38" spans="1:22" ht="15.75">
      <c r="A38" s="79" t="s">
        <v>613</v>
      </c>
      <c r="B38" s="821" t="s">
        <v>614</v>
      </c>
      <c r="C38" s="407"/>
      <c r="D38" s="407"/>
      <c r="E38" s="407"/>
      <c r="F38" s="407"/>
      <c r="G38" s="407"/>
      <c r="H38" s="407"/>
      <c r="I38" s="407"/>
      <c r="J38" s="407"/>
      <c r="K38" s="135"/>
      <c r="L38" s="2"/>
      <c r="M38" s="408"/>
      <c r="N38" s="408"/>
      <c r="O38" s="408"/>
      <c r="P38" s="408"/>
      <c r="Q38" s="408"/>
      <c r="R38" s="2"/>
      <c r="S38" s="2"/>
      <c r="T38" s="2"/>
      <c r="U38" s="2"/>
      <c r="V38" s="2"/>
    </row>
    <row r="39" spans="1:22" ht="15.75">
      <c r="A39" s="391">
        <f>+A31+1</f>
        <v>9</v>
      </c>
      <c r="B39" s="392" t="s">
        <v>534</v>
      </c>
      <c r="C39" s="4"/>
      <c r="D39" s="393"/>
      <c r="E39" s="393"/>
      <c r="F39" s="393"/>
      <c r="G39" s="401"/>
      <c r="H39" s="393"/>
      <c r="I39" s="394"/>
      <c r="J39" s="394"/>
      <c r="K39" s="656">
        <v>12563290.5</v>
      </c>
      <c r="L39" s="2"/>
      <c r="M39" s="408"/>
      <c r="N39" s="408"/>
      <c r="O39" s="408"/>
      <c r="P39" s="408"/>
      <c r="Q39" s="408"/>
      <c r="R39" s="2"/>
      <c r="S39" s="2"/>
      <c r="T39" s="2"/>
      <c r="U39" s="2"/>
      <c r="V39" s="2"/>
    </row>
    <row r="40" spans="1:22" ht="15.75">
      <c r="A40" s="2"/>
      <c r="B40" s="2"/>
      <c r="E40" s="408"/>
      <c r="F40" s="408"/>
      <c r="G40" s="408"/>
      <c r="H40" s="408"/>
      <c r="I40" s="409"/>
      <c r="J40" s="408"/>
      <c r="K40" s="408"/>
      <c r="L40" s="2"/>
      <c r="M40" s="408"/>
      <c r="N40" s="408"/>
      <c r="O40" s="408"/>
      <c r="P40" s="408"/>
      <c r="Q40" s="408"/>
      <c r="R40" s="2"/>
      <c r="S40" s="2"/>
      <c r="T40" s="2"/>
      <c r="U40" s="2"/>
      <c r="V40" s="2"/>
    </row>
  </sheetData>
  <mergeCells count="8">
    <mergeCell ref="B36:J37"/>
    <mergeCell ref="A3:K3"/>
    <mergeCell ref="A4:K4"/>
    <mergeCell ref="A5:K5"/>
    <mergeCell ref="A6:K6"/>
    <mergeCell ref="B29:G30"/>
    <mergeCell ref="A8:K8"/>
    <mergeCell ref="B11:H11"/>
  </mergeCells>
  <phoneticPr fontId="0" type="noConversion"/>
  <pageMargins left="0.26" right="0.63" top="1" bottom="1" header="0.75" footer="0.5"/>
  <pageSetup scale="86" orientation="landscape" r:id="rId1"/>
  <headerFooter alignWithMargins="0">
    <oddHeader>&amp;R&amp;"Arial,Bold"Formula Rate 
&amp;A
Page &amp;P of &amp;N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S76"/>
  <sheetViews>
    <sheetView tabSelected="1" view="pageBreakPreview" topLeftCell="A16" zoomScale="85" zoomScaleNormal="85" zoomScaleSheetLayoutView="85" workbookViewId="0">
      <selection activeCell="D11" sqref="D11"/>
    </sheetView>
  </sheetViews>
  <sheetFormatPr defaultColWidth="9.140625" defaultRowHeight="15"/>
  <cols>
    <col min="1" max="1" width="10.42578125" style="46" customWidth="1"/>
    <col min="2" max="2" width="15.140625" style="17" customWidth="1"/>
    <col min="3" max="3" width="59.140625" style="6" customWidth="1"/>
    <col min="4" max="4" width="16.42578125" style="6" bestFit="1" customWidth="1"/>
    <col min="5" max="5" width="22" style="6" customWidth="1"/>
    <col min="6" max="6" width="17.42578125" style="6" customWidth="1"/>
    <col min="7" max="7" width="47.5703125" style="6" customWidth="1"/>
    <col min="8" max="8" width="13.85546875" style="6" customWidth="1"/>
    <col min="9" max="9" width="9.140625" style="6"/>
    <col min="10" max="10" width="12.42578125" style="6" bestFit="1" customWidth="1"/>
    <col min="11" max="11" width="13.42578125" style="6" customWidth="1"/>
    <col min="12" max="16384" width="9.140625" style="6"/>
  </cols>
  <sheetData>
    <row r="1" spans="1:11" ht="15.75">
      <c r="A1" s="657" t="s">
        <v>114</v>
      </c>
    </row>
    <row r="2" spans="1:11" ht="15.75">
      <c r="A2" s="657" t="s">
        <v>114</v>
      </c>
    </row>
    <row r="3" spans="1:11">
      <c r="A3" s="1234" t="s">
        <v>387</v>
      </c>
      <c r="B3" s="1234"/>
      <c r="C3" s="1234"/>
      <c r="D3" s="1234"/>
      <c r="E3" s="1234"/>
      <c r="F3" s="1234"/>
      <c r="G3" s="1234"/>
      <c r="H3" s="28"/>
    </row>
    <row r="4" spans="1:11" ht="17.25" customHeight="1">
      <c r="A4" s="1235" t="str">
        <f>"Cost of Service Formula Rate Using Actual/Projected FF1 Balances"</f>
        <v>Cost of Service Formula Rate Using Actual/Projected FF1 Balances</v>
      </c>
      <c r="B4" s="1235"/>
      <c r="C4" s="1235"/>
      <c r="D4" s="1235"/>
      <c r="E4" s="1235"/>
      <c r="F4" s="1235"/>
      <c r="G4" s="1235"/>
      <c r="H4" s="74"/>
      <c r="I4" s="74"/>
      <c r="J4" s="74"/>
      <c r="K4" s="74"/>
    </row>
    <row r="5" spans="1:11" ht="18" customHeight="1">
      <c r="A5" s="1235" t="s">
        <v>488</v>
      </c>
      <c r="B5" s="1235"/>
      <c r="C5" s="1235"/>
      <c r="D5" s="1235"/>
      <c r="E5" s="1235"/>
      <c r="F5" s="1235"/>
      <c r="G5" s="1235"/>
    </row>
    <row r="6" spans="1:11" ht="19.5" customHeight="1">
      <c r="A6" s="1243" t="str">
        <f>TCOS!F9</f>
        <v>Ohio Power Company</v>
      </c>
      <c r="B6" s="1243"/>
      <c r="C6" s="1243"/>
      <c r="D6" s="1243"/>
      <c r="E6" s="1243"/>
      <c r="F6" s="1243"/>
      <c r="G6" s="1243"/>
    </row>
    <row r="7" spans="1:11" ht="12.75" customHeight="1">
      <c r="A7" s="1234"/>
      <c r="B7" s="1234"/>
      <c r="C7" s="1234"/>
      <c r="D7" s="1234"/>
      <c r="E7" s="1234"/>
      <c r="F7" s="1234"/>
      <c r="G7" s="34"/>
    </row>
    <row r="8" spans="1:11" ht="18">
      <c r="A8" s="1264"/>
      <c r="B8" s="1264"/>
      <c r="C8" s="1264"/>
      <c r="D8" s="1264"/>
      <c r="E8" s="1264"/>
      <c r="F8" s="1264"/>
      <c r="G8" s="1264"/>
    </row>
    <row r="9" spans="1:11" ht="18">
      <c r="A9" s="126"/>
      <c r="B9" s="126"/>
      <c r="C9" s="126"/>
      <c r="D9" s="126"/>
      <c r="E9" s="126"/>
      <c r="F9" s="126"/>
      <c r="G9" s="126"/>
    </row>
    <row r="10" spans="1:11" ht="15.75">
      <c r="B10" s="25" t="s">
        <v>162</v>
      </c>
      <c r="C10" s="25" t="s">
        <v>163</v>
      </c>
      <c r="D10" s="25" t="s">
        <v>164</v>
      </c>
      <c r="E10" s="25" t="s">
        <v>165</v>
      </c>
      <c r="F10" s="25" t="s">
        <v>84</v>
      </c>
      <c r="G10" s="25" t="s">
        <v>85</v>
      </c>
    </row>
    <row r="11" spans="1:11" ht="15.75">
      <c r="B11" s="38"/>
      <c r="C11" s="34"/>
      <c r="D11" s="158"/>
      <c r="E11" s="159"/>
      <c r="F11" s="160" t="s">
        <v>87</v>
      </c>
      <c r="G11" s="25"/>
    </row>
    <row r="12" spans="1:11" ht="15.75">
      <c r="A12" s="41" t="s">
        <v>169</v>
      </c>
      <c r="B12" s="38"/>
      <c r="C12" s="47"/>
      <c r="D12" s="41">
        <f>+TCOS!L4</f>
        <v>2025</v>
      </c>
      <c r="E12" s="160" t="s">
        <v>87</v>
      </c>
      <c r="F12" s="41" t="s">
        <v>115</v>
      </c>
      <c r="G12" s="25"/>
    </row>
    <row r="13" spans="1:11" ht="15.75">
      <c r="A13" s="41" t="s">
        <v>106</v>
      </c>
      <c r="B13" s="41" t="s">
        <v>36</v>
      </c>
      <c r="C13" s="41" t="s">
        <v>167</v>
      </c>
      <c r="D13" s="41" t="s">
        <v>37</v>
      </c>
      <c r="E13" s="41" t="s">
        <v>89</v>
      </c>
      <c r="F13" s="41" t="s">
        <v>38</v>
      </c>
      <c r="G13" s="41" t="s">
        <v>39</v>
      </c>
    </row>
    <row r="14" spans="1:11" ht="15.75">
      <c r="B14" s="41"/>
      <c r="C14" s="41"/>
      <c r="D14" s="41"/>
      <c r="E14" s="41"/>
      <c r="F14" s="41"/>
      <c r="G14" s="41"/>
    </row>
    <row r="15" spans="1:11" ht="15.75">
      <c r="B15" s="41"/>
      <c r="C15" s="41"/>
      <c r="D15" s="41"/>
      <c r="E15" s="41"/>
      <c r="F15" s="41"/>
      <c r="G15" s="41"/>
    </row>
    <row r="16" spans="1:11" ht="15.75">
      <c r="B16" s="41"/>
      <c r="D16" s="41"/>
      <c r="E16" s="41"/>
      <c r="F16" s="41"/>
      <c r="G16" s="41"/>
    </row>
    <row r="17" spans="1:7" ht="15.75">
      <c r="B17" s="41"/>
      <c r="C17" s="41" t="s">
        <v>496</v>
      </c>
      <c r="D17" s="32"/>
      <c r="E17" s="32"/>
      <c r="F17" s="32"/>
      <c r="G17" s="70"/>
    </row>
    <row r="18" spans="1:7">
      <c r="A18" s="46">
        <v>1</v>
      </c>
      <c r="B18" s="979">
        <v>5660005</v>
      </c>
      <c r="C18" s="628" t="s">
        <v>957</v>
      </c>
      <c r="D18" s="629">
        <v>13646134.27</v>
      </c>
      <c r="E18" s="52"/>
      <c r="F18" s="52"/>
      <c r="G18" s="653"/>
    </row>
    <row r="19" spans="1:7">
      <c r="A19" s="46">
        <v>2</v>
      </c>
      <c r="B19" s="627"/>
      <c r="C19" s="628"/>
      <c r="D19" s="629"/>
      <c r="E19" s="52"/>
      <c r="F19" s="52"/>
      <c r="G19" s="31"/>
    </row>
    <row r="20" spans="1:7">
      <c r="A20" s="46">
        <v>3</v>
      </c>
      <c r="B20" s="627"/>
      <c r="C20" s="628"/>
      <c r="D20" s="629"/>
      <c r="E20" s="52"/>
      <c r="F20" s="52"/>
      <c r="G20" s="31"/>
    </row>
    <row r="21" spans="1:7" ht="15.75">
      <c r="A21" s="46">
        <v>4</v>
      </c>
      <c r="B21" s="41"/>
      <c r="C21" s="183" t="s">
        <v>118</v>
      </c>
      <c r="D21" s="232">
        <f>SUM(D18:D19)</f>
        <v>13646134.27</v>
      </c>
      <c r="E21" s="52"/>
      <c r="F21" s="52"/>
      <c r="G21" s="41"/>
    </row>
    <row r="22" spans="1:7" ht="15.75">
      <c r="B22" s="41"/>
      <c r="C22" s="183"/>
      <c r="D22" s="196"/>
      <c r="E22" s="32"/>
      <c r="F22" s="32"/>
      <c r="G22" s="41"/>
    </row>
    <row r="23" spans="1:7" ht="15.75">
      <c r="A23" s="6"/>
      <c r="B23" s="41"/>
      <c r="C23" s="41" t="s">
        <v>49</v>
      </c>
      <c r="D23" s="49"/>
      <c r="E23" s="32"/>
      <c r="F23" s="32"/>
      <c r="G23" s="41"/>
    </row>
    <row r="24" spans="1:7" ht="15.75">
      <c r="A24" s="40">
        <f>+A21+1</f>
        <v>5</v>
      </c>
      <c r="B24" s="15"/>
      <c r="C24" s="192"/>
      <c r="D24" s="824"/>
      <c r="E24" s="32"/>
      <c r="F24" s="32"/>
      <c r="G24" s="41"/>
    </row>
    <row r="25" spans="1:7" ht="15.75">
      <c r="A25" s="229">
        <f>+A24+1</f>
        <v>6</v>
      </c>
      <c r="B25" s="15" t="s">
        <v>50</v>
      </c>
      <c r="C25" s="15" t="s">
        <v>51</v>
      </c>
      <c r="D25" s="630">
        <v>0</v>
      </c>
      <c r="E25" s="32"/>
      <c r="F25" s="32"/>
      <c r="G25" s="41"/>
    </row>
    <row r="26" spans="1:7" ht="15.75">
      <c r="A26" s="40">
        <f>+A25+1</f>
        <v>7</v>
      </c>
      <c r="B26" s="192" t="s">
        <v>52</v>
      </c>
      <c r="C26" s="192" t="s">
        <v>53</v>
      </c>
      <c r="D26" s="630">
        <v>920638.12</v>
      </c>
      <c r="E26" s="32"/>
      <c r="F26" s="32"/>
      <c r="G26" s="41"/>
    </row>
    <row r="27" spans="1:7" ht="15.75">
      <c r="A27" s="229">
        <f t="shared" ref="A27:A32" si="0">+A26+1</f>
        <v>8</v>
      </c>
      <c r="B27" s="15" t="s">
        <v>54</v>
      </c>
      <c r="C27" s="15" t="s">
        <v>55</v>
      </c>
      <c r="D27" s="618">
        <v>87584.8</v>
      </c>
      <c r="E27" s="32"/>
      <c r="F27" s="32"/>
      <c r="G27" s="41"/>
    </row>
    <row r="28" spans="1:7" ht="15.75">
      <c r="A28" s="40">
        <f t="shared" si="0"/>
        <v>9</v>
      </c>
      <c r="B28" s="192" t="s">
        <v>56</v>
      </c>
      <c r="C28" s="192" t="s">
        <v>57</v>
      </c>
      <c r="D28" s="630">
        <v>14112.61</v>
      </c>
      <c r="E28" s="32"/>
      <c r="F28" s="32"/>
      <c r="G28" s="41"/>
    </row>
    <row r="29" spans="1:7" ht="15.75">
      <c r="A29" s="229">
        <f t="shared" si="0"/>
        <v>10</v>
      </c>
      <c r="B29" s="15" t="s">
        <v>58</v>
      </c>
      <c r="C29" s="15" t="s">
        <v>59</v>
      </c>
      <c r="D29" s="630">
        <v>283712.26</v>
      </c>
      <c r="E29" s="32"/>
      <c r="F29" s="32"/>
      <c r="G29" s="41"/>
    </row>
    <row r="30" spans="1:7" ht="15.75">
      <c r="A30" s="40">
        <f t="shared" si="0"/>
        <v>11</v>
      </c>
      <c r="B30" s="192" t="s">
        <v>60</v>
      </c>
      <c r="C30" s="192" t="s">
        <v>61</v>
      </c>
      <c r="D30" s="630">
        <v>21.82</v>
      </c>
      <c r="E30" s="32"/>
      <c r="F30" s="32"/>
      <c r="G30" s="41"/>
    </row>
    <row r="31" spans="1:7" ht="15.75">
      <c r="A31" s="229">
        <f t="shared" si="0"/>
        <v>12</v>
      </c>
      <c r="B31" s="15" t="s">
        <v>62</v>
      </c>
      <c r="C31" s="15" t="s">
        <v>63</v>
      </c>
      <c r="D31" s="630">
        <v>0</v>
      </c>
      <c r="E31" s="32"/>
      <c r="F31" s="32"/>
      <c r="G31" s="41"/>
    </row>
    <row r="32" spans="1:7" ht="15.75">
      <c r="A32" s="40">
        <f t="shared" si="0"/>
        <v>13</v>
      </c>
      <c r="B32" s="192" t="s">
        <v>64</v>
      </c>
      <c r="C32" s="192" t="s">
        <v>65</v>
      </c>
      <c r="D32" s="630">
        <v>0</v>
      </c>
      <c r="E32" s="32"/>
      <c r="F32" s="32"/>
      <c r="G32" s="41"/>
    </row>
    <row r="33" spans="1:19" ht="15.75">
      <c r="A33" s="46">
        <f>+A32+1</f>
        <v>14</v>
      </c>
      <c r="B33" s="208"/>
      <c r="C33" s="25" t="s">
        <v>66</v>
      </c>
      <c r="D33" s="209">
        <f>SUM(D24:D32)</f>
        <v>1306069.6100000001</v>
      </c>
      <c r="E33" s="32"/>
      <c r="F33" s="32"/>
      <c r="G33" s="41"/>
    </row>
    <row r="34" spans="1:19" ht="15.75">
      <c r="A34" s="179"/>
      <c r="B34" s="51"/>
      <c r="C34" s="41"/>
      <c r="D34" s="41"/>
      <c r="E34" s="41"/>
      <c r="F34" s="41"/>
      <c r="G34" s="41"/>
    </row>
    <row r="35" spans="1:19" ht="15.75">
      <c r="A35" s="179"/>
      <c r="B35" s="40"/>
      <c r="C35" s="77" t="s">
        <v>212</v>
      </c>
      <c r="D35" s="34"/>
      <c r="E35" s="34"/>
      <c r="F35" s="34"/>
      <c r="G35" s="34"/>
    </row>
    <row r="36" spans="1:19">
      <c r="A36" s="46">
        <f>+A33+1</f>
        <v>15</v>
      </c>
      <c r="B36" s="910" t="s">
        <v>897</v>
      </c>
      <c r="C36" s="628" t="s">
        <v>898</v>
      </c>
      <c r="D36" s="911">
        <v>5508.39</v>
      </c>
      <c r="E36" s="1140">
        <f>D36-F36</f>
        <v>3656.3100000000004</v>
      </c>
      <c r="F36" s="32">
        <v>1852.08</v>
      </c>
      <c r="G36" s="31" t="s">
        <v>114</v>
      </c>
    </row>
    <row r="37" spans="1:19">
      <c r="A37" s="46">
        <f>+A36+1</f>
        <v>16</v>
      </c>
      <c r="B37" s="627" t="s">
        <v>958</v>
      </c>
      <c r="C37" s="628" t="s">
        <v>961</v>
      </c>
      <c r="D37" s="911">
        <v>256839.51</v>
      </c>
      <c r="E37" s="1140">
        <f t="shared" ref="E37:E41" si="1">D37-F37</f>
        <v>118146.17000000001</v>
      </c>
      <c r="F37" s="32">
        <v>138693.34</v>
      </c>
      <c r="G37" s="31" t="s">
        <v>114</v>
      </c>
    </row>
    <row r="38" spans="1:19">
      <c r="A38" s="46">
        <f>+A37+1</f>
        <v>17</v>
      </c>
      <c r="B38" s="627" t="s">
        <v>959</v>
      </c>
      <c r="C38" s="628" t="s">
        <v>962</v>
      </c>
      <c r="D38" s="911">
        <v>2630685.69</v>
      </c>
      <c r="E38" s="1140">
        <f t="shared" si="1"/>
        <v>2500246.9699999997</v>
      </c>
      <c r="F38" s="32">
        <v>130438.72</v>
      </c>
      <c r="G38" s="31" t="s">
        <v>114</v>
      </c>
    </row>
    <row r="39" spans="1:19">
      <c r="A39" s="46">
        <f t="shared" ref="A39:A43" si="2">+A38+1</f>
        <v>18</v>
      </c>
      <c r="B39" s="627">
        <v>9280003</v>
      </c>
      <c r="C39" s="628" t="s">
        <v>1178</v>
      </c>
      <c r="D39" s="911">
        <v>14760.6</v>
      </c>
      <c r="E39" s="1140">
        <f t="shared" si="1"/>
        <v>14760.6</v>
      </c>
      <c r="F39" s="32">
        <v>0</v>
      </c>
      <c r="G39" s="31"/>
    </row>
    <row r="40" spans="1:19">
      <c r="A40" s="46">
        <f t="shared" si="2"/>
        <v>19</v>
      </c>
      <c r="B40" s="627" t="s">
        <v>960</v>
      </c>
      <c r="C40" s="628" t="s">
        <v>963</v>
      </c>
      <c r="D40" s="911">
        <v>169822.87</v>
      </c>
      <c r="E40" s="1140">
        <f t="shared" si="1"/>
        <v>81011.429999999993</v>
      </c>
      <c r="F40" s="32">
        <v>88811.44</v>
      </c>
      <c r="G40" s="31" t="s">
        <v>114</v>
      </c>
    </row>
    <row r="41" spans="1:19">
      <c r="A41" s="46">
        <f t="shared" si="2"/>
        <v>20</v>
      </c>
      <c r="B41" s="627">
        <v>9280006</v>
      </c>
      <c r="C41" s="628" t="s">
        <v>1177</v>
      </c>
      <c r="D41" s="911">
        <v>8260418.4000000004</v>
      </c>
      <c r="E41" s="1140">
        <f t="shared" si="1"/>
        <v>5633284.7209962066</v>
      </c>
      <c r="F41" s="32">
        <f>D41*TCOS!J77</f>
        <v>2627133.6790037933</v>
      </c>
      <c r="G41" s="31"/>
    </row>
    <row r="42" spans="1:19" ht="12.75" customHeight="1">
      <c r="A42" s="46">
        <f t="shared" si="2"/>
        <v>21</v>
      </c>
      <c r="B42" s="627"/>
      <c r="C42" s="628"/>
      <c r="D42" s="628"/>
      <c r="E42" s="35"/>
      <c r="F42" s="36"/>
      <c r="G42" s="34"/>
    </row>
    <row r="43" spans="1:19" ht="15.75" customHeight="1">
      <c r="A43" s="46">
        <f t="shared" si="2"/>
        <v>22</v>
      </c>
      <c r="B43" s="38"/>
      <c r="C43" s="825" t="s">
        <v>619</v>
      </c>
      <c r="D43" s="48">
        <f>SUM(D36:D41)</f>
        <v>11338035.460000001</v>
      </c>
      <c r="E43" s="48">
        <f>SUM(E36:E41)</f>
        <v>8351106.2009962071</v>
      </c>
      <c r="F43" s="48">
        <f>SUM(F36:F41)</f>
        <v>2986929.2590037934</v>
      </c>
      <c r="G43" s="19"/>
    </row>
    <row r="44" spans="1:19" ht="12.75" customHeight="1">
      <c r="B44" s="38"/>
      <c r="C44" s="39"/>
      <c r="D44" s="50"/>
      <c r="E44" s="21"/>
      <c r="F44" s="21"/>
      <c r="G44" s="34"/>
    </row>
    <row r="45" spans="1:19" ht="15.75">
      <c r="B45" s="40"/>
      <c r="C45" s="77" t="s">
        <v>211</v>
      </c>
      <c r="D45" s="21"/>
      <c r="E45" s="21"/>
      <c r="F45" s="21"/>
      <c r="G45" s="34"/>
    </row>
    <row r="46" spans="1:19">
      <c r="A46" s="46">
        <f>+A43+1</f>
        <v>23</v>
      </c>
      <c r="B46" s="910" t="s">
        <v>899</v>
      </c>
      <c r="C46" s="628" t="s">
        <v>900</v>
      </c>
      <c r="D46" s="911">
        <v>4651.21</v>
      </c>
      <c r="E46" s="1140">
        <f>D46-F46</f>
        <v>3279.91</v>
      </c>
      <c r="F46" s="32">
        <v>1371.3</v>
      </c>
      <c r="G46"/>
      <c r="M46" s="18"/>
      <c r="N46" s="18"/>
      <c r="O46" s="20"/>
      <c r="P46" s="20"/>
      <c r="Q46" s="20"/>
      <c r="R46" s="20"/>
      <c r="S46" s="20"/>
    </row>
    <row r="47" spans="1:19">
      <c r="A47" s="46">
        <f>+A46+1</f>
        <v>24</v>
      </c>
      <c r="B47" s="627" t="s">
        <v>964</v>
      </c>
      <c r="C47" s="628" t="s">
        <v>969</v>
      </c>
      <c r="D47" s="911">
        <v>0</v>
      </c>
      <c r="E47" s="1140">
        <f t="shared" ref="E47:E53" si="3">D47-F47</f>
        <v>0</v>
      </c>
      <c r="F47" s="32">
        <v>0</v>
      </c>
      <c r="G47"/>
      <c r="M47" s="18"/>
      <c r="N47" s="18"/>
      <c r="O47" s="20"/>
      <c r="P47" s="20"/>
      <c r="Q47" s="20"/>
      <c r="R47" s="20"/>
      <c r="S47" s="20"/>
    </row>
    <row r="48" spans="1:19">
      <c r="A48" s="46">
        <f t="shared" ref="A48:A50" si="4">+A47+1</f>
        <v>25</v>
      </c>
      <c r="B48" s="627" t="s">
        <v>965</v>
      </c>
      <c r="C48" s="628" t="s">
        <v>970</v>
      </c>
      <c r="D48" s="911">
        <v>276886.28000000003</v>
      </c>
      <c r="E48" s="1140">
        <f t="shared" si="3"/>
        <v>276886.28000000003</v>
      </c>
      <c r="F48" s="32">
        <v>0</v>
      </c>
      <c r="G48"/>
      <c r="M48" s="18"/>
      <c r="N48" s="18"/>
      <c r="O48" s="20"/>
      <c r="P48" s="20"/>
      <c r="Q48" s="20"/>
      <c r="R48" s="20"/>
      <c r="S48" s="20"/>
    </row>
    <row r="49" spans="1:19">
      <c r="A49" s="46">
        <f t="shared" si="4"/>
        <v>26</v>
      </c>
      <c r="B49" s="627">
        <v>9301009</v>
      </c>
      <c r="C49" s="628" t="s">
        <v>1198</v>
      </c>
      <c r="D49" s="911">
        <v>492.6</v>
      </c>
      <c r="E49" s="1140">
        <f t="shared" si="3"/>
        <v>133.69999999999999</v>
      </c>
      <c r="F49" s="32">
        <v>358.90000000000003</v>
      </c>
      <c r="G49"/>
      <c r="M49" s="18"/>
      <c r="N49" s="18"/>
      <c r="O49" s="20"/>
      <c r="P49" s="20"/>
      <c r="Q49" s="20"/>
      <c r="R49" s="20"/>
      <c r="S49" s="20"/>
    </row>
    <row r="50" spans="1:19">
      <c r="A50" s="46">
        <f t="shared" si="4"/>
        <v>27</v>
      </c>
      <c r="B50" s="627" t="s">
        <v>966</v>
      </c>
      <c r="C50" s="628" t="s">
        <v>971</v>
      </c>
      <c r="D50" s="911">
        <v>0</v>
      </c>
      <c r="E50" s="1140">
        <f t="shared" si="3"/>
        <v>0</v>
      </c>
      <c r="F50" s="32">
        <v>0</v>
      </c>
      <c r="G50"/>
      <c r="M50" s="18"/>
      <c r="N50" s="18"/>
      <c r="O50" s="20"/>
      <c r="P50" s="20"/>
      <c r="Q50" s="20"/>
      <c r="R50" s="20"/>
      <c r="S50" s="20"/>
    </row>
    <row r="51" spans="1:19">
      <c r="A51" s="46">
        <f>+A50+1</f>
        <v>28</v>
      </c>
      <c r="B51" s="627" t="s">
        <v>967</v>
      </c>
      <c r="C51" s="628" t="s">
        <v>972</v>
      </c>
      <c r="D51" s="911">
        <v>137359.20000000001</v>
      </c>
      <c r="E51" s="1140">
        <f t="shared" si="3"/>
        <v>137358</v>
      </c>
      <c r="F51" s="32">
        <v>1.2</v>
      </c>
      <c r="G51"/>
      <c r="M51" s="18"/>
      <c r="N51" s="18"/>
      <c r="O51" s="20"/>
      <c r="P51" s="20"/>
      <c r="Q51" s="20"/>
      <c r="R51" s="20"/>
      <c r="S51" s="20"/>
    </row>
    <row r="52" spans="1:19">
      <c r="A52" s="46">
        <f t="shared" ref="A52:A62" si="5">+A51+1</f>
        <v>29</v>
      </c>
      <c r="B52" s="627" t="s">
        <v>1080</v>
      </c>
      <c r="C52" s="628" t="s">
        <v>1079</v>
      </c>
      <c r="D52" s="911">
        <v>0</v>
      </c>
      <c r="E52" s="1140">
        <f t="shared" si="3"/>
        <v>0</v>
      </c>
      <c r="F52" s="32">
        <v>0</v>
      </c>
      <c r="G52"/>
      <c r="M52" s="18"/>
      <c r="N52" s="18"/>
      <c r="O52" s="20"/>
      <c r="P52" s="20"/>
      <c r="Q52" s="20"/>
      <c r="R52" s="20"/>
      <c r="S52" s="20"/>
    </row>
    <row r="53" spans="1:19">
      <c r="A53" s="46">
        <f t="shared" si="5"/>
        <v>30</v>
      </c>
      <c r="B53" s="627" t="s">
        <v>968</v>
      </c>
      <c r="C53" s="628" t="s">
        <v>973</v>
      </c>
      <c r="D53" s="911">
        <v>122325.45</v>
      </c>
      <c r="E53" s="1140">
        <f t="shared" si="3"/>
        <v>122325.45</v>
      </c>
      <c r="F53" s="32">
        <v>0</v>
      </c>
      <c r="G53"/>
      <c r="M53" s="18"/>
      <c r="N53" s="18"/>
      <c r="O53" s="20"/>
      <c r="P53" s="20"/>
      <c r="Q53" s="20"/>
      <c r="R53" s="20"/>
      <c r="S53" s="20"/>
    </row>
    <row r="54" spans="1:19">
      <c r="A54" s="46">
        <f t="shared" si="5"/>
        <v>31</v>
      </c>
      <c r="B54" s="627"/>
      <c r="C54" s="628"/>
      <c r="D54" s="629"/>
      <c r="E54" s="32"/>
      <c r="F54" s="32"/>
      <c r="G54"/>
      <c r="M54" s="18"/>
      <c r="N54" s="18"/>
      <c r="O54" s="20"/>
      <c r="P54" s="20"/>
      <c r="Q54" s="20"/>
      <c r="R54" s="20"/>
      <c r="S54" s="20"/>
    </row>
    <row r="55" spans="1:19">
      <c r="A55" s="46">
        <f>A54+1</f>
        <v>32</v>
      </c>
      <c r="B55" s="627"/>
      <c r="C55" s="628"/>
      <c r="D55" s="629"/>
      <c r="E55" s="32"/>
      <c r="F55" s="32"/>
      <c r="G55"/>
      <c r="M55" s="18"/>
      <c r="N55" s="18"/>
      <c r="O55" s="20"/>
      <c r="P55" s="20"/>
      <c r="Q55" s="20"/>
      <c r="R55" s="20"/>
      <c r="S55" s="20"/>
    </row>
    <row r="56" spans="1:19">
      <c r="A56" s="46">
        <f>A55+1</f>
        <v>33</v>
      </c>
      <c r="B56" s="627"/>
      <c r="C56" s="628"/>
      <c r="D56" s="629"/>
      <c r="E56" s="32"/>
      <c r="F56" s="32"/>
      <c r="G56"/>
      <c r="M56" s="18"/>
      <c r="N56" s="18"/>
      <c r="O56" s="20"/>
      <c r="P56" s="20"/>
      <c r="Q56" s="20"/>
      <c r="R56" s="20"/>
      <c r="S56" s="20"/>
    </row>
    <row r="57" spans="1:19">
      <c r="A57" s="46">
        <f>A56+1</f>
        <v>34</v>
      </c>
      <c r="B57" s="627"/>
      <c r="C57" s="628"/>
      <c r="D57" s="629"/>
      <c r="E57" s="32"/>
      <c r="F57" s="32"/>
      <c r="G57"/>
      <c r="M57" s="18"/>
      <c r="N57" s="18"/>
      <c r="O57" s="20"/>
      <c r="P57" s="20"/>
      <c r="Q57" s="20"/>
      <c r="R57" s="20"/>
      <c r="S57" s="20"/>
    </row>
    <row r="58" spans="1:19">
      <c r="A58" s="46">
        <f>A57+1</f>
        <v>35</v>
      </c>
      <c r="B58" s="627"/>
      <c r="C58" s="628"/>
      <c r="D58" s="629"/>
      <c r="E58" s="32"/>
      <c r="F58" s="37"/>
      <c r="G58"/>
      <c r="M58" s="18"/>
      <c r="N58" s="18"/>
      <c r="O58" s="20"/>
      <c r="P58" s="20"/>
      <c r="Q58" s="20"/>
      <c r="R58" s="20"/>
      <c r="S58" s="20"/>
    </row>
    <row r="59" spans="1:19">
      <c r="A59" s="46">
        <f t="shared" si="5"/>
        <v>36</v>
      </c>
      <c r="B59" s="627"/>
      <c r="C59" s="628"/>
      <c r="D59" s="629"/>
      <c r="E59" s="32"/>
      <c r="F59" s="37"/>
      <c r="G59"/>
    </row>
    <row r="60" spans="1:19">
      <c r="A60" s="46">
        <f t="shared" si="5"/>
        <v>37</v>
      </c>
      <c r="B60" s="627"/>
      <c r="C60" s="628"/>
      <c r="D60" s="629"/>
      <c r="E60" s="32"/>
      <c r="F60" s="37"/>
      <c r="G60" s="34"/>
    </row>
    <row r="61" spans="1:19">
      <c r="A61" s="46">
        <f t="shared" si="5"/>
        <v>38</v>
      </c>
      <c r="B61" s="627"/>
      <c r="C61" s="628"/>
      <c r="D61" s="629"/>
      <c r="E61" s="32"/>
      <c r="F61" s="37"/>
      <c r="G61" s="34"/>
    </row>
    <row r="62" spans="1:19">
      <c r="A62" s="46">
        <f t="shared" si="5"/>
        <v>39</v>
      </c>
      <c r="B62" s="627"/>
      <c r="C62" s="628"/>
      <c r="D62" s="629"/>
      <c r="E62" s="32"/>
      <c r="F62" s="37"/>
      <c r="G62" s="34"/>
    </row>
    <row r="63" spans="1:19">
      <c r="B63" s="33"/>
      <c r="C63" s="34"/>
      <c r="D63" s="42"/>
      <c r="E63" s="43"/>
      <c r="F63" s="42"/>
      <c r="G63" s="34"/>
    </row>
    <row r="64" spans="1:19" ht="15.75">
      <c r="A64" s="46">
        <f>A62+1</f>
        <v>40</v>
      </c>
      <c r="B64" s="38"/>
      <c r="C64" s="825" t="s">
        <v>620</v>
      </c>
      <c r="D64" s="44">
        <f>SUM(D46:D63)</f>
        <v>541714.74</v>
      </c>
      <c r="E64" s="44">
        <f>SUM(E46:E63)</f>
        <v>539983.34</v>
      </c>
      <c r="F64" s="44">
        <f>SUM(F46:F62)</f>
        <v>1731.4</v>
      </c>
      <c r="G64" s="19"/>
    </row>
    <row r="65" spans="1:11" ht="12.75" customHeight="1">
      <c r="B65" s="27"/>
      <c r="C65" s="27"/>
      <c r="D65" s="27"/>
      <c r="E65" s="27"/>
      <c r="F65" s="27"/>
      <c r="G65" s="27"/>
    </row>
    <row r="66" spans="1:11" ht="15.75">
      <c r="B66" s="25"/>
      <c r="C66" s="77" t="s">
        <v>210</v>
      </c>
      <c r="D66" s="45"/>
      <c r="E66" s="45"/>
      <c r="F66" s="45"/>
      <c r="G66" s="25"/>
    </row>
    <row r="67" spans="1:11">
      <c r="A67" s="46">
        <f>+A64+1</f>
        <v>41</v>
      </c>
      <c r="B67" s="910" t="s">
        <v>901</v>
      </c>
      <c r="C67" s="628" t="s">
        <v>902</v>
      </c>
      <c r="D67" s="911">
        <v>1318068.99</v>
      </c>
      <c r="E67" s="1140">
        <f t="shared" ref="E67:E71" si="6">D67-F67</f>
        <v>1119350.17</v>
      </c>
      <c r="F67" s="32">
        <v>198718.82</v>
      </c>
      <c r="G67" s="18"/>
      <c r="H67" s="18"/>
      <c r="J67" s="20"/>
      <c r="K67" s="20"/>
    </row>
    <row r="68" spans="1:11">
      <c r="A68" s="46">
        <f>+A67+1</f>
        <v>42</v>
      </c>
      <c r="B68" s="910" t="s">
        <v>903</v>
      </c>
      <c r="C68" s="628" t="s">
        <v>904</v>
      </c>
      <c r="D68" s="911">
        <v>337194.72499999998</v>
      </c>
      <c r="E68" s="1140">
        <f t="shared" si="6"/>
        <v>300102.63999999996</v>
      </c>
      <c r="F68" s="32">
        <v>37092.084999999999</v>
      </c>
      <c r="G68" s="18"/>
      <c r="H68" s="18"/>
      <c r="J68" s="20"/>
      <c r="K68" s="20"/>
    </row>
    <row r="69" spans="1:11">
      <c r="A69" s="46">
        <f>+A68+1</f>
        <v>43</v>
      </c>
      <c r="B69" s="910" t="s">
        <v>905</v>
      </c>
      <c r="C69" s="628" t="s">
        <v>906</v>
      </c>
      <c r="D69" s="911">
        <v>112.01</v>
      </c>
      <c r="E69" s="1140">
        <f t="shared" si="6"/>
        <v>112.01</v>
      </c>
      <c r="F69" s="32">
        <v>0</v>
      </c>
      <c r="G69" s="18"/>
      <c r="H69" s="18"/>
      <c r="J69" s="20"/>
      <c r="K69" s="20"/>
    </row>
    <row r="70" spans="1:11">
      <c r="A70" s="46">
        <f t="shared" ref="A70:A72" si="7">+A69+1</f>
        <v>44</v>
      </c>
      <c r="B70" s="910" t="s">
        <v>907</v>
      </c>
      <c r="C70" s="628" t="s">
        <v>908</v>
      </c>
      <c r="D70" s="911">
        <v>63.7</v>
      </c>
      <c r="E70" s="1140">
        <f t="shared" si="6"/>
        <v>63.7</v>
      </c>
      <c r="F70" s="32">
        <v>0</v>
      </c>
      <c r="G70" s="18"/>
      <c r="H70" s="18"/>
      <c r="J70" s="20"/>
      <c r="K70" s="20"/>
    </row>
    <row r="71" spans="1:11">
      <c r="A71" s="46">
        <f t="shared" si="7"/>
        <v>45</v>
      </c>
      <c r="B71" s="910" t="s">
        <v>909</v>
      </c>
      <c r="C71" s="628" t="s">
        <v>910</v>
      </c>
      <c r="D71" s="911">
        <v>1310774.17</v>
      </c>
      <c r="E71" s="1140">
        <f t="shared" si="6"/>
        <v>763586.62999999989</v>
      </c>
      <c r="F71" s="32">
        <v>547187.54</v>
      </c>
      <c r="G71" s="18"/>
      <c r="H71" s="18"/>
      <c r="J71" s="20"/>
      <c r="K71" s="20"/>
    </row>
    <row r="72" spans="1:11">
      <c r="A72" s="46">
        <f t="shared" si="7"/>
        <v>46</v>
      </c>
      <c r="B72" s="910"/>
      <c r="C72" s="628"/>
      <c r="D72" s="912"/>
      <c r="E72" s="1144"/>
      <c r="F72" s="234"/>
      <c r="G72" s="27"/>
    </row>
    <row r="73" spans="1:11">
      <c r="B73" s="233"/>
      <c r="C73" s="235"/>
      <c r="D73" s="235"/>
      <c r="E73" s="27"/>
      <c r="F73" s="27"/>
      <c r="G73" s="27"/>
    </row>
    <row r="74" spans="1:11" ht="15.75">
      <c r="A74" s="46">
        <f>+A72+1</f>
        <v>47</v>
      </c>
      <c r="B74" s="27"/>
      <c r="C74" s="825" t="s">
        <v>621</v>
      </c>
      <c r="D74" s="234">
        <f>SUM(D67:D72)</f>
        <v>2966213.5949999997</v>
      </c>
      <c r="E74" s="234">
        <f>SUM(E67:E72)</f>
        <v>2183215.1499999994</v>
      </c>
      <c r="F74" s="234">
        <f>SUM(F67:F72)</f>
        <v>782998.44500000007</v>
      </c>
      <c r="G74" s="19"/>
    </row>
    <row r="75" spans="1:11">
      <c r="B75" s="69"/>
      <c r="C75"/>
      <c r="D75" s="231"/>
      <c r="E75"/>
      <c r="F75"/>
      <c r="G75"/>
    </row>
    <row r="76" spans="1:11" ht="12.75">
      <c r="A76"/>
      <c r="B76"/>
      <c r="C76"/>
      <c r="D76"/>
      <c r="E76"/>
      <c r="F76"/>
    </row>
  </sheetData>
  <mergeCells count="6">
    <mergeCell ref="A3:G3"/>
    <mergeCell ref="A8:G8"/>
    <mergeCell ref="A7:F7"/>
    <mergeCell ref="A4:G4"/>
    <mergeCell ref="A5:G5"/>
    <mergeCell ref="A6:G6"/>
  </mergeCells>
  <phoneticPr fontId="0" type="noConversion"/>
  <pageMargins left="0.44" right="0.52" top="1" bottom="0.67" header="0.75" footer="0.4"/>
  <pageSetup scale="52" orientation="portrait" r:id="rId1"/>
  <headerFooter alignWithMargins="0">
    <oddHeader>&amp;R&amp;"Arial,Bold"Formula Rate 
&amp;A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O38"/>
  <sheetViews>
    <sheetView tabSelected="1" view="pageBreakPreview" zoomScaleNormal="100" zoomScaleSheetLayoutView="100" workbookViewId="0">
      <selection activeCell="D11" sqref="D11"/>
    </sheetView>
  </sheetViews>
  <sheetFormatPr defaultRowHeight="12.75"/>
  <cols>
    <col min="2" max="2" width="32.5703125" customWidth="1"/>
    <col min="5" max="5" width="15" customWidth="1"/>
    <col min="6" max="6" width="12.85546875" bestFit="1" customWidth="1"/>
    <col min="7" max="7" width="10.85546875" customWidth="1"/>
    <col min="8" max="8" width="2.85546875" customWidth="1"/>
    <col min="9" max="9" width="16.5703125" bestFit="1" customWidth="1"/>
    <col min="10" max="10" width="2.140625" customWidth="1"/>
    <col min="11" max="11" width="14.5703125" bestFit="1" customWidth="1"/>
    <col min="12" max="12" width="4.85546875" customWidth="1"/>
    <col min="13" max="13" width="16" bestFit="1" customWidth="1"/>
    <col min="14" max="14" width="2.140625" customWidth="1"/>
    <col min="15" max="15" width="14.42578125" bestFit="1" customWidth="1"/>
  </cols>
  <sheetData>
    <row r="1" spans="1:15" ht="15.75">
      <c r="A1" s="657" t="s">
        <v>114</v>
      </c>
    </row>
    <row r="2" spans="1:15" ht="15.75">
      <c r="A2" s="657" t="s">
        <v>114</v>
      </c>
    </row>
    <row r="3" spans="1:15" ht="15">
      <c r="A3" s="1234" t="s">
        <v>387</v>
      </c>
      <c r="B3" s="1234"/>
      <c r="C3" s="1234"/>
      <c r="D3" s="1234"/>
      <c r="E3" s="1234"/>
      <c r="F3" s="1234"/>
      <c r="G3" s="1234"/>
      <c r="H3" s="1234"/>
    </row>
    <row r="4" spans="1:15" ht="15">
      <c r="A4" s="1235" t="str">
        <f>"Cost of Service Formula Rate Using Actual/Projected FF1 Balances"</f>
        <v>Cost of Service Formula Rate Using Actual/Projected FF1 Balances</v>
      </c>
      <c r="B4" s="1235"/>
      <c r="C4" s="1235"/>
      <c r="D4" s="1235"/>
      <c r="E4" s="1235"/>
      <c r="F4" s="1235"/>
      <c r="G4" s="1235"/>
      <c r="H4" s="1235"/>
    </row>
    <row r="5" spans="1:15" ht="15">
      <c r="A5" s="1235" t="s">
        <v>527</v>
      </c>
      <c r="B5" s="1235"/>
      <c r="C5" s="1235"/>
      <c r="D5" s="1235"/>
      <c r="E5" s="1235"/>
      <c r="F5" s="1235"/>
      <c r="G5" s="1235"/>
      <c r="H5" s="1235"/>
    </row>
    <row r="6" spans="1:15" ht="15">
      <c r="A6" s="1243" t="str">
        <f>TCOS!F9</f>
        <v>Ohio Power Company</v>
      </c>
      <c r="B6" s="1243"/>
      <c r="C6" s="1243"/>
      <c r="D6" s="1243"/>
      <c r="E6" s="1243"/>
      <c r="F6" s="1243"/>
      <c r="G6" s="1243"/>
    </row>
    <row r="7" spans="1:15" ht="12.75" customHeight="1">
      <c r="A7" s="13"/>
      <c r="B7" s="14"/>
      <c r="C7" s="14"/>
      <c r="D7" s="14"/>
      <c r="E7" s="14"/>
      <c r="F7" s="14"/>
      <c r="G7" s="14"/>
      <c r="H7" s="14"/>
      <c r="I7" s="14"/>
      <c r="J7" s="14"/>
      <c r="O7" s="11"/>
    </row>
    <row r="8" spans="1:15" ht="12.75" customHeight="1">
      <c r="A8" s="13"/>
      <c r="B8" s="28"/>
      <c r="C8" s="2"/>
      <c r="D8" s="2"/>
      <c r="E8" s="2"/>
      <c r="F8" s="2"/>
    </row>
    <row r="9" spans="1:15" ht="12.75" customHeight="1">
      <c r="A9" s="13"/>
      <c r="B9" s="2" t="s">
        <v>911</v>
      </c>
      <c r="C9" s="26"/>
      <c r="D9" s="29"/>
      <c r="E9" s="1141">
        <v>6.5000000000000002E-2</v>
      </c>
      <c r="F9" s="30"/>
    </row>
    <row r="10" spans="1:15" ht="12.75" customHeight="1">
      <c r="A10" s="13"/>
      <c r="B10" s="2" t="s">
        <v>912</v>
      </c>
      <c r="C10" s="26"/>
      <c r="D10" s="26"/>
      <c r="E10" s="1142">
        <v>1.4E-3</v>
      </c>
      <c r="F10" s="1106"/>
    </row>
    <row r="11" spans="1:15" ht="12.75" customHeight="1">
      <c r="A11" s="13"/>
      <c r="B11" s="2" t="s">
        <v>448</v>
      </c>
      <c r="C11" s="26"/>
      <c r="D11" s="26"/>
      <c r="E11" s="30"/>
      <c r="F11" s="30">
        <f>ROUND(E9*E10,6)</f>
        <v>9.1000000000000003E-5</v>
      </c>
    </row>
    <row r="12" spans="1:15" ht="12.75" customHeight="1">
      <c r="A12" s="13"/>
      <c r="B12" s="2"/>
      <c r="C12" s="26"/>
      <c r="D12" s="26"/>
      <c r="E12" s="30"/>
      <c r="F12" s="30"/>
    </row>
    <row r="13" spans="1:15" ht="12.75" customHeight="1">
      <c r="A13" s="13"/>
      <c r="B13" s="2" t="s">
        <v>913</v>
      </c>
      <c r="C13" s="26"/>
      <c r="D13" s="26"/>
      <c r="E13" s="1141">
        <v>9.5000000000000001E-2</v>
      </c>
      <c r="F13" s="30"/>
    </row>
    <row r="14" spans="1:15" ht="12.75" customHeight="1">
      <c r="A14" s="13"/>
      <c r="B14" s="2" t="s">
        <v>912</v>
      </c>
      <c r="C14" s="26"/>
      <c r="D14" s="26"/>
      <c r="E14" s="1142">
        <v>2.5000000000000001E-3</v>
      </c>
      <c r="F14" s="30"/>
    </row>
    <row r="15" spans="1:15" ht="12.75" customHeight="1">
      <c r="A15" s="13"/>
      <c r="B15" s="2" t="s">
        <v>448</v>
      </c>
      <c r="C15" s="26"/>
      <c r="D15" s="26"/>
      <c r="E15" s="30"/>
      <c r="F15" s="30">
        <f>ROUND(E13*E14,6)</f>
        <v>2.3800000000000001E-4</v>
      </c>
    </row>
    <row r="16" spans="1:15" ht="12.75" customHeight="1">
      <c r="A16" s="13"/>
      <c r="B16" s="2"/>
      <c r="C16" s="26"/>
      <c r="D16" s="26"/>
      <c r="E16" s="30"/>
      <c r="F16" s="30"/>
    </row>
    <row r="17" spans="1:12" ht="12.75" customHeight="1">
      <c r="A17" s="13"/>
      <c r="B17" s="2" t="s">
        <v>914</v>
      </c>
      <c r="C17" s="26"/>
      <c r="D17" s="29"/>
      <c r="E17" s="1141">
        <v>0.06</v>
      </c>
      <c r="F17" s="30"/>
    </row>
    <row r="18" spans="1:12" ht="12.75" customHeight="1">
      <c r="A18" s="13"/>
      <c r="B18" s="2" t="s">
        <v>912</v>
      </c>
      <c r="C18" s="26"/>
      <c r="D18" s="26"/>
      <c r="E18" s="1142">
        <v>1E-4</v>
      </c>
      <c r="F18" s="30"/>
    </row>
    <row r="19" spans="1:12" ht="12.75" customHeight="1">
      <c r="A19" s="13"/>
      <c r="B19" s="2" t="s">
        <v>448</v>
      </c>
      <c r="C19" s="26"/>
      <c r="D19" s="26"/>
      <c r="E19" s="30"/>
      <c r="F19" s="30">
        <f>ROUND(E17*E18,6)</f>
        <v>6.0000000000000002E-6</v>
      </c>
    </row>
    <row r="20" spans="1:12" ht="12.75" customHeight="1">
      <c r="A20" s="13"/>
      <c r="B20" s="2"/>
      <c r="C20" s="26"/>
      <c r="D20" s="26"/>
      <c r="E20" s="30"/>
      <c r="F20" s="30"/>
    </row>
    <row r="21" spans="1:12" ht="12.75" customHeight="1">
      <c r="A21" s="13"/>
      <c r="B21" s="2" t="s">
        <v>915</v>
      </c>
      <c r="C21" s="26"/>
      <c r="D21" s="26"/>
      <c r="E21" s="1141">
        <v>0.05</v>
      </c>
      <c r="F21" s="30"/>
    </row>
    <row r="22" spans="1:12" ht="12.75" customHeight="1">
      <c r="A22" s="13"/>
      <c r="B22" s="2" t="s">
        <v>912</v>
      </c>
      <c r="C22" s="26"/>
      <c r="D22" s="26"/>
      <c r="E22" s="1142">
        <v>6.9999999999999999E-4</v>
      </c>
      <c r="F22" s="30"/>
    </row>
    <row r="23" spans="1:12" ht="12.75" customHeight="1">
      <c r="A23" s="13"/>
      <c r="B23" s="2" t="s">
        <v>448</v>
      </c>
      <c r="C23" s="26"/>
      <c r="D23" s="26"/>
      <c r="E23" s="30"/>
      <c r="F23" s="30">
        <f>ROUND(+E21*E22,6)</f>
        <v>3.4999999999999997E-5</v>
      </c>
    </row>
    <row r="24" spans="1:12" ht="12.75" customHeight="1">
      <c r="A24" s="13"/>
      <c r="B24" s="2"/>
      <c r="C24" s="26"/>
      <c r="D24" s="26"/>
      <c r="E24" s="30"/>
      <c r="F24" s="30"/>
    </row>
    <row r="25" spans="1:12" ht="12.75" customHeight="1">
      <c r="A25" s="13"/>
      <c r="B25" s="2" t="s">
        <v>916</v>
      </c>
      <c r="C25" s="26"/>
      <c r="D25" s="29"/>
      <c r="E25" s="1141">
        <v>0.02</v>
      </c>
      <c r="F25" s="30"/>
    </row>
    <row r="26" spans="1:12" ht="12.75" customHeight="1">
      <c r="A26" s="13"/>
      <c r="B26" s="2" t="s">
        <v>912</v>
      </c>
      <c r="C26" s="26"/>
      <c r="D26" s="26"/>
      <c r="E26" s="1142">
        <v>0.65469999999999995</v>
      </c>
      <c r="F26" s="30"/>
    </row>
    <row r="27" spans="1:12" ht="12.75" customHeight="1">
      <c r="A27" s="13"/>
      <c r="B27" s="2" t="s">
        <v>448</v>
      </c>
      <c r="C27" s="26"/>
      <c r="D27" s="26"/>
      <c r="E27" s="30"/>
      <c r="F27" s="30">
        <f>ROUND(E25*E26,6)</f>
        <v>1.3094E-2</v>
      </c>
    </row>
    <row r="28" spans="1:12" ht="12.75" customHeight="1">
      <c r="A28" s="13"/>
      <c r="B28" s="2"/>
      <c r="C28" s="26"/>
      <c r="D28" s="26"/>
      <c r="E28" s="30"/>
      <c r="F28" s="30"/>
    </row>
    <row r="29" spans="1:12" ht="12.75" customHeight="1">
      <c r="A29" s="13"/>
      <c r="B29" s="2"/>
      <c r="C29" s="26"/>
      <c r="D29" s="26"/>
      <c r="E29" s="26"/>
      <c r="F29" s="30"/>
    </row>
    <row r="30" spans="1:12" ht="29.25" customHeight="1" thickBot="1">
      <c r="A30" s="13"/>
      <c r="B30" s="2" t="s">
        <v>203</v>
      </c>
      <c r="C30" s="2"/>
      <c r="D30" s="2"/>
      <c r="E30" s="2"/>
      <c r="F30" s="1143">
        <f>SUM(F11:F27)</f>
        <v>1.3464E-2</v>
      </c>
    </row>
    <row r="31" spans="1:12" ht="13.5" thickTop="1">
      <c r="A31" s="1"/>
      <c r="L31" s="1"/>
    </row>
    <row r="32" spans="1:12">
      <c r="A32" s="1"/>
      <c r="L32" s="1"/>
    </row>
    <row r="33" spans="1:12">
      <c r="A33" s="1"/>
      <c r="L33" s="1"/>
    </row>
    <row r="34" spans="1:12" ht="12.75" customHeight="1">
      <c r="A34" s="1"/>
      <c r="C34" s="2"/>
      <c r="D34" s="2"/>
      <c r="E34" s="2"/>
      <c r="F34" s="2"/>
      <c r="L34" s="1"/>
    </row>
    <row r="35" spans="1:12" ht="21.75" customHeight="1">
      <c r="A35" s="2"/>
      <c r="B35" s="1266" t="s">
        <v>114</v>
      </c>
      <c r="C35" s="1266"/>
      <c r="D35" s="1266"/>
      <c r="E35" s="1266"/>
      <c r="F35" s="1266"/>
      <c r="G35" s="1266"/>
      <c r="I35" s="13"/>
    </row>
    <row r="36" spans="1:12" ht="12.75" customHeight="1">
      <c r="B36" s="1266"/>
      <c r="C36" s="1266"/>
      <c r="D36" s="1266"/>
      <c r="E36" s="1266"/>
      <c r="F36" s="1266"/>
      <c r="G36" s="1266"/>
    </row>
    <row r="37" spans="1:12" ht="17.25" customHeight="1">
      <c r="B37" s="1266"/>
      <c r="C37" s="1266"/>
      <c r="D37" s="1266"/>
      <c r="E37" s="1266"/>
      <c r="F37" s="1266"/>
      <c r="G37" s="1266"/>
    </row>
    <row r="38" spans="1:12" ht="18" customHeight="1">
      <c r="A38" s="4" t="s">
        <v>499</v>
      </c>
      <c r="B38" s="4" t="s">
        <v>75</v>
      </c>
      <c r="C38" s="4"/>
      <c r="D38" s="4"/>
      <c r="E38" s="4"/>
      <c r="F38" s="4"/>
      <c r="G38" s="4"/>
    </row>
  </sheetData>
  <mergeCells count="5">
    <mergeCell ref="B35:G37"/>
    <mergeCell ref="A6:G6"/>
    <mergeCell ref="A3:H3"/>
    <mergeCell ref="A4:H4"/>
    <mergeCell ref="A5:H5"/>
  </mergeCells>
  <phoneticPr fontId="0" type="noConversion"/>
  <pageMargins left="0.26" right="1.28" top="1" bottom="1" header="0.75" footer="0.5"/>
  <pageSetup scale="89" orientation="portrait" r:id="rId1"/>
  <headerFooter alignWithMargins="0">
    <oddHeader>&amp;R&amp;"Arial,Bold"Formula Rate 
&amp;A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AC71"/>
  <sheetViews>
    <sheetView tabSelected="1" view="pageBreakPreview" topLeftCell="A26" zoomScale="60" zoomScaleNormal="55" workbookViewId="0">
      <selection activeCell="D11" sqref="D11"/>
    </sheetView>
  </sheetViews>
  <sheetFormatPr defaultColWidth="9.140625" defaultRowHeight="15"/>
  <cols>
    <col min="1" max="1" width="7.42578125" style="98" customWidth="1"/>
    <col min="2" max="2" width="1.5703125" style="87" customWidth="1"/>
    <col min="3" max="3" width="62.42578125" style="87" customWidth="1"/>
    <col min="4" max="4" width="19.140625" style="87" customWidth="1"/>
    <col min="5" max="5" width="22.5703125" style="94" bestFit="1" customWidth="1"/>
    <col min="6" max="6" width="1.5703125" style="87" customWidth="1"/>
    <col min="7" max="7" width="27" style="87" customWidth="1"/>
    <col min="8" max="8" width="1.5703125" style="87" customWidth="1"/>
    <col min="9" max="9" width="21.42578125" style="87" customWidth="1"/>
    <col min="10" max="10" width="1.5703125" style="87" customWidth="1"/>
    <col min="11" max="11" width="19.42578125" style="87" bestFit="1" customWidth="1"/>
    <col min="12" max="12" width="3.42578125" style="87" customWidth="1"/>
    <col min="13" max="13" width="22.5703125" style="87" customWidth="1"/>
    <col min="14" max="14" width="1.42578125" style="87" customWidth="1"/>
    <col min="15" max="15" width="22.140625" style="175" customWidth="1"/>
    <col min="16" max="16384" width="9.140625" style="87"/>
  </cols>
  <sheetData>
    <row r="1" spans="1:29" ht="15.75">
      <c r="A1" s="657" t="s">
        <v>114</v>
      </c>
    </row>
    <row r="2" spans="1:29" ht="15.75">
      <c r="A2" s="657" t="s">
        <v>114</v>
      </c>
    </row>
    <row r="3" spans="1:29" ht="18.75" customHeight="1">
      <c r="A3" s="1234" t="s">
        <v>387</v>
      </c>
      <c r="B3" s="1234"/>
      <c r="C3" s="1234"/>
      <c r="D3" s="1234"/>
      <c r="E3" s="1234"/>
      <c r="F3" s="1234"/>
      <c r="G3" s="1234"/>
      <c r="H3" s="1234"/>
      <c r="I3" s="1234"/>
      <c r="J3" s="1234"/>
      <c r="K3" s="1234"/>
      <c r="L3" s="1234"/>
      <c r="M3" s="1234"/>
    </row>
    <row r="4" spans="1:29" ht="18.75" customHeight="1">
      <c r="A4" s="1235" t="str">
        <f>"Cost of Service Formula Rate Using Actual/Projected FF1 Balances"</f>
        <v>Cost of Service Formula Rate Using Actual/Projected FF1 Balances</v>
      </c>
      <c r="B4" s="1235"/>
      <c r="C4" s="1235"/>
      <c r="D4" s="1235"/>
      <c r="E4" s="1235"/>
      <c r="F4" s="1235"/>
      <c r="G4" s="1235"/>
      <c r="H4" s="1235"/>
      <c r="I4" s="1235"/>
      <c r="J4" s="1235"/>
      <c r="K4" s="1235"/>
      <c r="L4" s="1235"/>
      <c r="M4" s="1235"/>
    </row>
    <row r="5" spans="1:29" ht="18.75" customHeight="1">
      <c r="A5" s="1235" t="s">
        <v>238</v>
      </c>
      <c r="B5" s="1235"/>
      <c r="C5" s="1235"/>
      <c r="D5" s="1235"/>
      <c r="E5" s="1235"/>
      <c r="F5" s="1235"/>
      <c r="G5" s="1235"/>
      <c r="H5" s="1235"/>
      <c r="I5" s="1235"/>
      <c r="J5" s="1235"/>
      <c r="K5" s="1235"/>
      <c r="L5" s="1235"/>
      <c r="M5" s="1235"/>
    </row>
    <row r="6" spans="1:29" ht="18.75" customHeight="1">
      <c r="A6" s="1236" t="str">
        <f>+TCOS!F9</f>
        <v>Ohio Power Company</v>
      </c>
      <c r="B6" s="1236"/>
      <c r="C6" s="1236"/>
      <c r="D6" s="1236"/>
      <c r="E6" s="1236"/>
      <c r="F6" s="1236"/>
      <c r="G6" s="1236"/>
      <c r="H6" s="1236"/>
      <c r="I6" s="1236"/>
      <c r="J6" s="1236"/>
      <c r="K6" s="1236"/>
      <c r="L6" s="1236"/>
      <c r="M6" s="1236"/>
    </row>
    <row r="7" spans="1:29" ht="18" customHeight="1">
      <c r="A7" s="1243"/>
      <c r="B7" s="1243"/>
      <c r="C7" s="1243"/>
      <c r="D7" s="1243"/>
      <c r="E7" s="1243"/>
      <c r="F7" s="1243"/>
      <c r="G7" s="1243"/>
      <c r="H7" s="1243"/>
      <c r="I7" s="1243"/>
      <c r="J7" s="1243"/>
      <c r="K7" s="1243"/>
      <c r="L7" s="1243"/>
      <c r="M7" s="1243"/>
    </row>
    <row r="8" spans="1:29" ht="18" customHeight="1">
      <c r="A8" s="1264"/>
      <c r="B8" s="1264"/>
      <c r="C8" s="1264"/>
      <c r="D8" s="1264"/>
      <c r="E8" s="1264"/>
      <c r="F8" s="1264"/>
      <c r="G8" s="1264"/>
      <c r="H8" s="1264"/>
      <c r="I8" s="1264"/>
      <c r="J8" s="1264"/>
      <c r="K8" s="1264"/>
      <c r="L8" s="1264"/>
      <c r="M8" s="1264"/>
    </row>
    <row r="9" spans="1:29" ht="18" customHeight="1">
      <c r="A9" s="126"/>
      <c r="B9" s="126"/>
      <c r="C9" s="126"/>
      <c r="D9" s="126"/>
      <c r="E9" s="126"/>
      <c r="F9" s="126"/>
      <c r="G9" s="126"/>
      <c r="H9" s="126"/>
      <c r="I9" s="126"/>
      <c r="J9" s="126"/>
      <c r="K9" s="126"/>
      <c r="L9" s="126"/>
      <c r="M9" s="126"/>
    </row>
    <row r="10" spans="1:29" ht="19.5" customHeight="1">
      <c r="A10" s="89"/>
      <c r="B10" s="88"/>
      <c r="C10" s="25" t="s">
        <v>162</v>
      </c>
      <c r="E10" s="25" t="s">
        <v>163</v>
      </c>
      <c r="G10" s="25" t="s">
        <v>164</v>
      </c>
      <c r="I10" s="25" t="s">
        <v>165</v>
      </c>
      <c r="K10" s="25" t="s">
        <v>84</v>
      </c>
      <c r="M10" s="25" t="s">
        <v>85</v>
      </c>
    </row>
    <row r="11" spans="1:29" ht="18">
      <c r="A11" s="161"/>
      <c r="B11" s="162"/>
      <c r="C11" s="162"/>
      <c r="D11" s="162"/>
      <c r="E11"/>
      <c r="F11"/>
      <c r="G11"/>
      <c r="H11"/>
      <c r="I11"/>
      <c r="J11"/>
      <c r="K11"/>
      <c r="L11"/>
      <c r="M11"/>
      <c r="Q11" s="28"/>
      <c r="R11" s="28"/>
      <c r="S11" s="28"/>
      <c r="T11" s="28"/>
      <c r="U11" s="28"/>
      <c r="V11" s="28"/>
      <c r="W11" s="28"/>
      <c r="X11" s="28"/>
      <c r="Y11" s="28"/>
      <c r="Z11" s="28"/>
      <c r="AA11" s="28"/>
      <c r="AB11" s="28"/>
      <c r="AC11" s="28"/>
    </row>
    <row r="12" spans="1:29" ht="19.5">
      <c r="A12" s="161" t="s">
        <v>169</v>
      </c>
      <c r="B12" s="162"/>
      <c r="C12" s="162"/>
      <c r="D12" s="162"/>
      <c r="E12" s="163" t="s">
        <v>118</v>
      </c>
      <c r="F12" s="161"/>
      <c r="G12" s="161"/>
      <c r="H12" s="161"/>
      <c r="I12" s="161"/>
      <c r="J12" s="161"/>
      <c r="K12" s="93"/>
      <c r="L12" s="93"/>
      <c r="M12" s="164"/>
    </row>
    <row r="13" spans="1:29" ht="19.5">
      <c r="A13" s="165" t="s">
        <v>117</v>
      </c>
      <c r="B13" s="162"/>
      <c r="C13" s="165" t="s">
        <v>306</v>
      </c>
      <c r="D13" s="162"/>
      <c r="E13" s="166" t="s">
        <v>183</v>
      </c>
      <c r="F13" s="161"/>
      <c r="G13" s="165" t="s">
        <v>309</v>
      </c>
      <c r="H13" s="161"/>
      <c r="I13" s="165" t="s">
        <v>161</v>
      </c>
      <c r="J13" s="161"/>
      <c r="K13" s="167" t="s">
        <v>181</v>
      </c>
      <c r="L13" s="168"/>
      <c r="M13" s="167" t="s">
        <v>310</v>
      </c>
    </row>
    <row r="14" spans="1:29" ht="19.5">
      <c r="A14" s="89"/>
      <c r="B14" s="88"/>
      <c r="C14" s="86"/>
      <c r="D14" s="86"/>
      <c r="E14" s="86" t="s">
        <v>68</v>
      </c>
      <c r="F14" s="86"/>
      <c r="G14" s="86"/>
      <c r="H14" s="86"/>
      <c r="I14" s="86"/>
      <c r="J14" s="86"/>
      <c r="K14" s="85"/>
      <c r="L14" s="85"/>
    </row>
    <row r="15" spans="1:29" ht="19.5">
      <c r="A15" s="89"/>
      <c r="B15" s="88"/>
      <c r="C15" s="88"/>
      <c r="D15" s="88"/>
      <c r="E15" s="90"/>
      <c r="F15" s="88"/>
      <c r="G15" s="88"/>
      <c r="H15" s="88"/>
      <c r="I15" s="84"/>
      <c r="J15" s="88"/>
      <c r="K15" s="85"/>
      <c r="L15" s="85"/>
    </row>
    <row r="16" spans="1:29" ht="19.5">
      <c r="A16" s="89">
        <v>1</v>
      </c>
      <c r="B16" s="88"/>
      <c r="C16" s="91" t="s">
        <v>323</v>
      </c>
      <c r="D16" s="88"/>
      <c r="E16" s="85"/>
      <c r="F16" s="85"/>
      <c r="G16" s="92"/>
      <c r="H16" s="92"/>
      <c r="I16" s="92"/>
      <c r="J16" s="92"/>
      <c r="K16" s="92"/>
      <c r="L16" s="92"/>
      <c r="M16" s="92"/>
    </row>
    <row r="17" spans="1:15" ht="18">
      <c r="A17" s="89">
        <f>+A16+1</f>
        <v>2</v>
      </c>
      <c r="B17" s="88"/>
      <c r="C17" s="175" t="s">
        <v>307</v>
      </c>
      <c r="D17" s="175"/>
      <c r="E17" s="176">
        <f>'WS H-1-Detail of Tax Amts'!E15</f>
        <v>9397930</v>
      </c>
      <c r="F17" s="175"/>
      <c r="G17" s="176"/>
      <c r="H17" s="176"/>
      <c r="I17" s="176"/>
      <c r="J17" s="176"/>
      <c r="K17" s="176"/>
      <c r="L17" s="176"/>
      <c r="M17" s="176">
        <f>+E17</f>
        <v>9397930</v>
      </c>
    </row>
    <row r="18" spans="1:15" ht="18">
      <c r="A18" s="89"/>
      <c r="B18" s="88"/>
      <c r="C18" s="984"/>
      <c r="D18" s="175"/>
      <c r="E18" s="175"/>
      <c r="F18" s="175"/>
      <c r="G18" s="176"/>
      <c r="H18" s="176"/>
      <c r="I18" s="176"/>
      <c r="J18" s="176"/>
      <c r="K18" s="176"/>
      <c r="L18" s="176"/>
      <c r="M18" s="176"/>
    </row>
    <row r="19" spans="1:15" ht="18">
      <c r="A19" s="799">
        <f>+A17+1</f>
        <v>3</v>
      </c>
      <c r="B19" s="800"/>
      <c r="C19" s="985" t="s">
        <v>324</v>
      </c>
      <c r="D19" s="175"/>
      <c r="E19" s="175"/>
      <c r="F19" s="175"/>
      <c r="G19" s="176"/>
      <c r="H19" s="986"/>
      <c r="I19" s="986"/>
      <c r="J19" s="986"/>
      <c r="K19" s="986"/>
      <c r="L19" s="986"/>
      <c r="M19" s="986"/>
    </row>
    <row r="20" spans="1:15" ht="18">
      <c r="A20" s="799">
        <f>+A19+1</f>
        <v>4</v>
      </c>
      <c r="B20" s="800"/>
      <c r="C20" s="175" t="s">
        <v>919</v>
      </c>
      <c r="D20" s="175"/>
      <c r="E20" s="176">
        <f>'WS H-1-Detail of Tax Amts'!E27</f>
        <v>403186781.69</v>
      </c>
      <c r="F20" s="175"/>
      <c r="G20" s="176">
        <f>+E20</f>
        <v>403186781.69</v>
      </c>
      <c r="H20" s="986"/>
      <c r="I20" s="986"/>
      <c r="J20" s="986"/>
      <c r="K20" s="986"/>
      <c r="L20" s="986"/>
      <c r="M20" s="986"/>
      <c r="O20"/>
    </row>
    <row r="21" spans="1:15" ht="18">
      <c r="A21" s="799">
        <f>+A20+1</f>
        <v>5</v>
      </c>
      <c r="B21" s="800"/>
      <c r="C21" s="175" t="s">
        <v>991</v>
      </c>
      <c r="D21" s="175"/>
      <c r="E21" s="176">
        <f>'WS H-1-Detail of Tax Amts'!E37</f>
        <v>701392.91999999993</v>
      </c>
      <c r="F21" s="175"/>
      <c r="G21" s="176">
        <f>+E21</f>
        <v>701392.91999999993</v>
      </c>
      <c r="H21" s="986"/>
      <c r="I21" s="986"/>
      <c r="J21" s="986"/>
      <c r="K21" s="986"/>
      <c r="L21" s="986"/>
      <c r="M21" s="986"/>
      <c r="O21"/>
    </row>
    <row r="22" spans="1:15" ht="18">
      <c r="A22" s="799">
        <f>+A21+1</f>
        <v>6</v>
      </c>
      <c r="B22" s="800"/>
      <c r="C22" s="175" t="s">
        <v>463</v>
      </c>
      <c r="D22" s="176"/>
      <c r="E22" s="176">
        <f>'WS H-1-Detail of Tax Amts'!E48</f>
        <v>0</v>
      </c>
      <c r="F22" s="175"/>
      <c r="G22" s="176">
        <f>+E22</f>
        <v>0</v>
      </c>
      <c r="H22" s="986"/>
      <c r="I22" s="986"/>
      <c r="J22" s="986"/>
      <c r="K22" s="986"/>
      <c r="L22" s="986"/>
      <c r="M22" s="986"/>
      <c r="O22"/>
    </row>
    <row r="23" spans="1:15" ht="18">
      <c r="A23" s="799">
        <f>+A22+1</f>
        <v>7</v>
      </c>
      <c r="B23" s="800"/>
      <c r="C23" s="175" t="s">
        <v>992</v>
      </c>
      <c r="D23" s="176"/>
      <c r="E23" s="176">
        <f>'WS H-1-Detail of Tax Amts'!E54</f>
        <v>0</v>
      </c>
      <c r="F23" s="175"/>
      <c r="G23" s="176">
        <f>E23</f>
        <v>0</v>
      </c>
      <c r="H23" s="986"/>
      <c r="I23" s="986"/>
      <c r="J23" s="986"/>
      <c r="K23" s="986"/>
      <c r="L23" s="986"/>
      <c r="M23" s="986"/>
      <c r="O23"/>
    </row>
    <row r="24" spans="1:15" ht="18">
      <c r="A24" s="89"/>
      <c r="B24" s="88"/>
      <c r="C24" s="984"/>
      <c r="D24" s="175"/>
      <c r="E24" s="175"/>
      <c r="F24" s="175"/>
      <c r="G24" s="176"/>
      <c r="H24" s="176"/>
      <c r="I24" s="176"/>
      <c r="J24" s="176"/>
      <c r="K24" s="176"/>
      <c r="L24" s="176"/>
      <c r="M24" s="176"/>
      <c r="O24" s="176"/>
    </row>
    <row r="25" spans="1:15" ht="18">
      <c r="A25" s="89">
        <f>+A23+1</f>
        <v>8</v>
      </c>
      <c r="B25" s="88"/>
      <c r="C25" s="985" t="s">
        <v>325</v>
      </c>
      <c r="D25" s="175"/>
      <c r="E25" s="175"/>
      <c r="F25" s="175"/>
      <c r="G25" s="176"/>
      <c r="H25" s="176"/>
      <c r="I25" s="176"/>
      <c r="J25" s="176"/>
      <c r="K25" s="176"/>
      <c r="L25" s="176"/>
      <c r="M25" s="176"/>
      <c r="O25" s="176"/>
    </row>
    <row r="26" spans="1:15" ht="18">
      <c r="A26" s="89">
        <f>+A25+1</f>
        <v>9</v>
      </c>
      <c r="B26" s="88"/>
      <c r="C26" s="175" t="s">
        <v>321</v>
      </c>
      <c r="D26" s="175"/>
      <c r="E26" s="176">
        <f>'WS H-1-Detail of Tax Amts'!E65</f>
        <v>6586731</v>
      </c>
      <c r="F26" s="175"/>
      <c r="G26" s="176"/>
      <c r="H26" s="176"/>
      <c r="I26" s="176">
        <f>+E26</f>
        <v>6586731</v>
      </c>
      <c r="J26" s="176"/>
      <c r="K26" s="176"/>
      <c r="L26" s="176"/>
      <c r="M26" s="176"/>
      <c r="O26" s="176"/>
    </row>
    <row r="27" spans="1:15" ht="18">
      <c r="A27" s="89">
        <f>+A26+1</f>
        <v>10</v>
      </c>
      <c r="B27" s="88"/>
      <c r="C27" s="175" t="s">
        <v>314</v>
      </c>
      <c r="D27" s="175"/>
      <c r="E27" s="176">
        <f>'WS H-1-Detail of Tax Amts'!E67</f>
        <v>0</v>
      </c>
      <c r="F27" s="175"/>
      <c r="G27" s="175"/>
      <c r="H27" s="175"/>
      <c r="I27" s="176">
        <f>+E27</f>
        <v>0</v>
      </c>
      <c r="J27" s="175"/>
      <c r="K27" s="175"/>
      <c r="L27" s="175"/>
      <c r="M27" s="176"/>
    </row>
    <row r="28" spans="1:15" ht="18">
      <c r="A28" s="89">
        <f>+A27+1</f>
        <v>11</v>
      </c>
      <c r="B28" s="88"/>
      <c r="C28" s="175" t="s">
        <v>315</v>
      </c>
      <c r="D28" s="175"/>
      <c r="E28" s="176">
        <f>'WS H-1-Detail of Tax Amts'!E69</f>
        <v>86617</v>
      </c>
      <c r="F28" s="175"/>
      <c r="G28" s="175"/>
      <c r="H28" s="175"/>
      <c r="I28" s="176">
        <f>+E28</f>
        <v>86617</v>
      </c>
      <c r="J28" s="987"/>
      <c r="K28" s="175"/>
      <c r="L28" s="175"/>
      <c r="M28" s="176"/>
    </row>
    <row r="29" spans="1:15" ht="18">
      <c r="A29" s="89" t="s">
        <v>114</v>
      </c>
      <c r="B29" s="88"/>
      <c r="C29" s="175"/>
      <c r="D29" s="175"/>
      <c r="E29" s="175"/>
      <c r="F29" s="175"/>
      <c r="G29" s="175"/>
      <c r="H29" s="175"/>
      <c r="I29" s="176"/>
      <c r="J29" s="99"/>
      <c r="K29" s="101"/>
      <c r="L29" s="101"/>
      <c r="M29" s="176"/>
    </row>
    <row r="30" spans="1:15" ht="18">
      <c r="A30" s="89">
        <f>A28+1</f>
        <v>12</v>
      </c>
      <c r="B30" s="88"/>
      <c r="C30" s="985" t="s">
        <v>440</v>
      </c>
      <c r="D30" s="175"/>
      <c r="E30" s="175"/>
      <c r="F30" s="175"/>
      <c r="G30" s="175"/>
      <c r="H30" s="175"/>
      <c r="I30" s="176"/>
      <c r="J30" s="99"/>
      <c r="K30" s="101"/>
      <c r="L30" s="101"/>
      <c r="M30" s="176"/>
    </row>
    <row r="31" spans="1:15" ht="18">
      <c r="A31" s="89">
        <f>A30+1</f>
        <v>13</v>
      </c>
      <c r="B31" s="88"/>
      <c r="C31" s="175" t="s">
        <v>441</v>
      </c>
      <c r="D31" s="988"/>
      <c r="E31" s="176">
        <f>'WS H-1-Detail of Tax Amts'!E75</f>
        <v>0</v>
      </c>
      <c r="F31" s="175"/>
      <c r="G31" s="175"/>
      <c r="H31" s="175"/>
      <c r="I31" s="176"/>
      <c r="J31" s="99"/>
      <c r="K31" s="101"/>
      <c r="L31" s="101"/>
      <c r="M31" s="176">
        <f>E31</f>
        <v>0</v>
      </c>
    </row>
    <row r="32" spans="1:15" ht="18">
      <c r="A32" s="89"/>
      <c r="B32" s="88"/>
      <c r="C32" s="175"/>
      <c r="D32" s="175"/>
      <c r="E32" s="175"/>
      <c r="F32" s="175"/>
      <c r="G32" s="175"/>
      <c r="H32" s="175"/>
      <c r="I32" s="176"/>
      <c r="J32" s="99"/>
      <c r="K32" s="101"/>
      <c r="L32" s="101"/>
      <c r="M32" s="176"/>
    </row>
    <row r="33" spans="1:13" ht="18">
      <c r="A33" s="95">
        <f>+A31+1</f>
        <v>14</v>
      </c>
      <c r="B33" s="96"/>
      <c r="C33" s="985" t="s">
        <v>322</v>
      </c>
      <c r="D33" s="989"/>
      <c r="E33" s="175"/>
      <c r="F33" s="175"/>
      <c r="G33" s="176"/>
      <c r="H33" s="176"/>
      <c r="I33" s="176"/>
      <c r="J33" s="176"/>
      <c r="K33" s="176"/>
      <c r="L33" s="176"/>
      <c r="M33" s="176"/>
    </row>
    <row r="34" spans="1:13" ht="18">
      <c r="A34" s="95">
        <f>A33+1</f>
        <v>15</v>
      </c>
      <c r="B34" s="96"/>
      <c r="C34" s="175" t="s">
        <v>439</v>
      </c>
      <c r="D34" s="990"/>
      <c r="E34" s="176">
        <f>'WS H-1-Detail of Tax Amts'!E79</f>
        <v>0</v>
      </c>
      <c r="F34" s="175"/>
      <c r="G34" s="176"/>
      <c r="H34" s="176"/>
      <c r="I34" s="176"/>
      <c r="J34" s="176"/>
      <c r="K34" s="176"/>
      <c r="L34" s="176"/>
      <c r="M34" s="176">
        <f>E34</f>
        <v>0</v>
      </c>
    </row>
    <row r="35" spans="1:13" ht="18">
      <c r="A35" s="89">
        <f>A34+1</f>
        <v>16</v>
      </c>
      <c r="B35" s="88"/>
      <c r="C35" s="175" t="s">
        <v>316</v>
      </c>
      <c r="D35" s="175"/>
      <c r="E35" s="176">
        <f>'WS H-1-Detail of Tax Amts'!E83</f>
        <v>0</v>
      </c>
      <c r="F35" s="175"/>
      <c r="G35" s="176"/>
      <c r="H35" s="176"/>
      <c r="I35" s="176"/>
      <c r="J35" s="176"/>
      <c r="K35" s="176">
        <f>+E35</f>
        <v>0</v>
      </c>
      <c r="L35" s="176"/>
      <c r="M35" s="176"/>
    </row>
    <row r="36" spans="1:13" ht="18">
      <c r="A36" s="89">
        <f t="shared" ref="A36:A42" si="0">+A35+1</f>
        <v>17</v>
      </c>
      <c r="B36" s="88"/>
      <c r="C36" s="175" t="s">
        <v>317</v>
      </c>
      <c r="D36" s="2"/>
      <c r="E36" s="176">
        <f>'WS H-1-Detail of Tax Amts'!E87</f>
        <v>-100</v>
      </c>
      <c r="F36" s="175"/>
      <c r="G36" s="176"/>
      <c r="H36" s="176"/>
      <c r="I36" s="176"/>
      <c r="J36" s="176"/>
      <c r="K36" s="176">
        <f>+E36</f>
        <v>-100</v>
      </c>
      <c r="L36" s="176"/>
      <c r="M36" s="176"/>
    </row>
    <row r="37" spans="1:13" ht="18">
      <c r="A37" s="89">
        <f>+A36+1</f>
        <v>18</v>
      </c>
      <c r="B37" s="88"/>
      <c r="C37" s="175" t="s">
        <v>318</v>
      </c>
      <c r="D37" s="2"/>
      <c r="E37" s="176">
        <f>'WS H-1-Detail of Tax Amts'!E97</f>
        <v>0</v>
      </c>
      <c r="F37" s="175"/>
      <c r="G37" s="176"/>
      <c r="H37" s="176"/>
      <c r="I37" s="176"/>
      <c r="J37" s="176"/>
      <c r="K37" s="176">
        <f>+E37</f>
        <v>0</v>
      </c>
      <c r="L37" s="176"/>
      <c r="M37" s="176"/>
    </row>
    <row r="38" spans="1:13" ht="18">
      <c r="A38" s="89">
        <f t="shared" si="0"/>
        <v>19</v>
      </c>
      <c r="B38" s="88"/>
      <c r="C38" s="175" t="s">
        <v>319</v>
      </c>
      <c r="D38" s="175"/>
      <c r="E38" s="176">
        <f>'WS H-1-Detail of Tax Amts'!E104</f>
        <v>0</v>
      </c>
      <c r="F38" s="175"/>
      <c r="G38" s="176"/>
      <c r="H38" s="176"/>
      <c r="I38" s="176"/>
      <c r="J38" s="176"/>
      <c r="K38" s="176">
        <f>+E38</f>
        <v>0</v>
      </c>
      <c r="L38" s="176"/>
      <c r="M38" s="176"/>
    </row>
    <row r="39" spans="1:13" ht="18">
      <c r="A39" s="89">
        <f t="shared" si="0"/>
        <v>20</v>
      </c>
      <c r="B39" s="88"/>
      <c r="C39" s="175" t="s">
        <v>320</v>
      </c>
      <c r="D39" s="175"/>
      <c r="E39" s="176">
        <f>'WS H-1-Detail of Tax Amts'!E107</f>
        <v>-1472</v>
      </c>
      <c r="F39" s="175"/>
      <c r="G39" s="176"/>
      <c r="H39" s="176"/>
      <c r="I39" s="176"/>
      <c r="J39" s="176"/>
      <c r="K39" s="176"/>
      <c r="L39" s="176"/>
      <c r="M39" s="176">
        <f>+E39</f>
        <v>-1472</v>
      </c>
    </row>
    <row r="40" spans="1:13" ht="19.5">
      <c r="A40" s="89">
        <f t="shared" si="0"/>
        <v>21</v>
      </c>
      <c r="B40" s="85"/>
      <c r="C40" s="175" t="s">
        <v>308</v>
      </c>
      <c r="D40" s="175"/>
      <c r="E40" s="176">
        <f>'WS H-1-Detail of Tax Amts'!E111</f>
        <v>155110788</v>
      </c>
      <c r="F40" s="175"/>
      <c r="G40" s="176"/>
      <c r="H40" s="176"/>
      <c r="I40" s="176"/>
      <c r="J40" s="176"/>
      <c r="K40" s="176"/>
      <c r="L40" s="176"/>
      <c r="M40" s="176">
        <f>+E40</f>
        <v>155110788</v>
      </c>
    </row>
    <row r="41" spans="1:13" ht="19.5">
      <c r="A41" s="89">
        <f t="shared" si="0"/>
        <v>22</v>
      </c>
      <c r="B41" s="85"/>
      <c r="C41" s="2" t="s">
        <v>1076</v>
      </c>
      <c r="D41" s="175"/>
      <c r="E41" s="176">
        <f>'WS H-1-Detail of Tax Amts'!E114</f>
        <v>0</v>
      </c>
      <c r="F41" s="175"/>
      <c r="G41" s="176"/>
      <c r="H41" s="176"/>
      <c r="I41" s="176"/>
      <c r="J41" s="176"/>
      <c r="K41" s="176"/>
      <c r="L41" s="176"/>
      <c r="M41" s="176">
        <f>+E41</f>
        <v>0</v>
      </c>
    </row>
    <row r="42" spans="1:13" ht="19.5">
      <c r="A42" s="89">
        <f t="shared" si="0"/>
        <v>23</v>
      </c>
      <c r="B42" s="85"/>
      <c r="C42" s="2"/>
      <c r="D42" s="175"/>
      <c r="E42" s="176"/>
      <c r="F42" s="175"/>
      <c r="G42" s="176"/>
      <c r="H42" s="176"/>
      <c r="I42" s="176"/>
      <c r="J42" s="176"/>
      <c r="K42" s="176"/>
      <c r="L42" s="176"/>
      <c r="M42" s="176"/>
    </row>
    <row r="43" spans="1:13" ht="18.75" thickBot="1">
      <c r="A43" s="89">
        <f>A42+1</f>
        <v>24</v>
      </c>
      <c r="B43" s="69"/>
      <c r="C43" s="175" t="s">
        <v>311</v>
      </c>
      <c r="D43" s="2"/>
      <c r="E43" s="991">
        <f>SUM(E17:E41)</f>
        <v>575068668.61000001</v>
      </c>
      <c r="F43" s="175"/>
      <c r="G43" s="991">
        <f>SUM(G17:G41)</f>
        <v>403888174.61000001</v>
      </c>
      <c r="H43" s="100"/>
      <c r="I43" s="991">
        <f>SUM(I17:I41)</f>
        <v>6673348</v>
      </c>
      <c r="J43" s="100"/>
      <c r="K43" s="991">
        <f>SUM(K17:K41)</f>
        <v>-100</v>
      </c>
      <c r="L43" s="101"/>
      <c r="M43" s="991">
        <f>SUM(M17:M41)</f>
        <v>164507246</v>
      </c>
    </row>
    <row r="44" spans="1:13" ht="15.75" thickTop="1">
      <c r="A44" s="4"/>
      <c r="B44" s="69"/>
      <c r="C44" s="175" t="s">
        <v>381</v>
      </c>
      <c r="D44" s="2"/>
      <c r="E44" s="2"/>
      <c r="F44" s="175"/>
      <c r="G44" s="100"/>
      <c r="H44" s="100"/>
      <c r="I44" s="100"/>
      <c r="J44" s="100"/>
      <c r="K44" s="101"/>
      <c r="L44" s="101"/>
      <c r="M44" s="101"/>
    </row>
    <row r="45" spans="1:13">
      <c r="A45" s="4"/>
      <c r="B45" s="69"/>
      <c r="C45" s="175" t="s">
        <v>79</v>
      </c>
      <c r="D45" s="2"/>
      <c r="E45" s="2"/>
      <c r="F45" s="175"/>
      <c r="G45" s="100"/>
      <c r="H45" s="100"/>
      <c r="I45" s="100"/>
      <c r="J45" s="100"/>
      <c r="K45" s="101"/>
      <c r="L45" s="101"/>
      <c r="M45" s="101"/>
    </row>
    <row r="46" spans="1:13" ht="15.75">
      <c r="A46" s="4"/>
      <c r="B46" s="69"/>
      <c r="C46" s="1267" t="s">
        <v>462</v>
      </c>
      <c r="D46" s="1267"/>
      <c r="E46" s="1267"/>
      <c r="F46" s="1267"/>
      <c r="G46" s="1267"/>
      <c r="H46" s="1267"/>
      <c r="I46" s="1267"/>
      <c r="J46" s="1267"/>
      <c r="K46" s="1267"/>
      <c r="L46" s="1267"/>
      <c r="M46" s="1267"/>
    </row>
    <row r="47" spans="1:13" ht="18">
      <c r="A47" s="89"/>
      <c r="C47" s="992"/>
      <c r="D47" s="992"/>
      <c r="E47" s="993" t="s">
        <v>229</v>
      </c>
      <c r="F47" s="992"/>
      <c r="G47" s="993" t="s">
        <v>333</v>
      </c>
      <c r="H47" s="993"/>
      <c r="I47" s="993" t="s">
        <v>438</v>
      </c>
      <c r="J47" s="993"/>
      <c r="K47" s="993" t="s">
        <v>334</v>
      </c>
      <c r="L47" s="994"/>
      <c r="M47" s="994" t="s">
        <v>118</v>
      </c>
    </row>
    <row r="48" spans="1:13" ht="18">
      <c r="A48" s="89">
        <f>+A43+1</f>
        <v>25</v>
      </c>
      <c r="C48" s="995" t="str">
        <f>"Functionalized Net Plant (TCOS, Lns "&amp;TCOS!B94&amp;" thru "&amp;TCOS!B100&amp;")"</f>
        <v>Functionalized Net Plant (TCOS, Lns 41 thru 46)</v>
      </c>
      <c r="D48" s="992"/>
      <c r="E48" s="996">
        <v>0</v>
      </c>
      <c r="F48" s="995"/>
      <c r="G48" s="996">
        <f>+TCOS!G95</f>
        <v>2792052608.7338471</v>
      </c>
      <c r="H48" s="995"/>
      <c r="I48" s="996">
        <f>+TCOS!G96</f>
        <v>5356015900.1461525</v>
      </c>
      <c r="J48" s="995"/>
      <c r="K48" s="996">
        <f>+TCOS!G97</f>
        <v>849071134.08307683</v>
      </c>
      <c r="L48" s="175"/>
      <c r="M48" s="997">
        <f>SUM(E48:K48)</f>
        <v>8997139642.9630756</v>
      </c>
    </row>
    <row r="49" spans="1:21" ht="18">
      <c r="A49" s="89"/>
      <c r="C49" s="998" t="s">
        <v>917</v>
      </c>
      <c r="D49" s="992"/>
      <c r="E49" s="999"/>
      <c r="F49" s="992"/>
      <c r="G49" s="1000"/>
      <c r="H49" s="992"/>
      <c r="I49" s="999"/>
      <c r="J49" s="992"/>
      <c r="K49" s="999"/>
      <c r="L49" s="175"/>
      <c r="M49" s="1001"/>
    </row>
    <row r="50" spans="1:21" ht="18">
      <c r="A50" s="89">
        <f>+A48+1</f>
        <v>26</v>
      </c>
      <c r="C50" s="992" t="str">
        <f>"Percentage of Plant in "&amp;C49&amp;""</f>
        <v>Percentage of Plant in OHIO JURISDICTION</v>
      </c>
      <c r="D50" s="992"/>
      <c r="E50" s="1002">
        <v>0</v>
      </c>
      <c r="F50" s="1000"/>
      <c r="G50" s="1002">
        <v>0.96166301179437197</v>
      </c>
      <c r="H50" s="1000"/>
      <c r="I50" s="1002">
        <v>0.99997032965543498</v>
      </c>
      <c r="J50" s="1000"/>
      <c r="K50" s="1002">
        <v>0.99322386906835303</v>
      </c>
      <c r="L50" s="175"/>
      <c r="M50" s="1001"/>
    </row>
    <row r="51" spans="1:21" ht="18">
      <c r="A51" s="89">
        <f t="shared" ref="A51:A57" si="1">+A50+1</f>
        <v>27</v>
      </c>
      <c r="C51" s="995" t="str">
        <f>"Net Plant in "&amp;C49&amp;" (Ln "&amp;A48&amp;" * Ln "&amp;A50&amp;")"</f>
        <v>Net Plant in OHIO JURISDICTION (Ln 25 * Ln 26)</v>
      </c>
      <c r="D51" s="992"/>
      <c r="E51" s="999">
        <f>+E48*E50</f>
        <v>0</v>
      </c>
      <c r="F51" s="992"/>
      <c r="G51" s="999">
        <f>+G48*G50</f>
        <v>2685013720.8033247</v>
      </c>
      <c r="H51" s="992"/>
      <c r="I51" s="999">
        <f>+I48*I50</f>
        <v>5355856985.3088999</v>
      </c>
      <c r="J51" s="992"/>
      <c r="K51" s="999">
        <f>+K48*K50</f>
        <v>843317716.90824795</v>
      </c>
      <c r="L51" s="175"/>
      <c r="M51" s="997">
        <f>SUM(E51:K51)</f>
        <v>8884188423.0204735</v>
      </c>
      <c r="O51"/>
    </row>
    <row r="52" spans="1:21" ht="18">
      <c r="A52" s="89">
        <f t="shared" si="1"/>
        <v>28</v>
      </c>
      <c r="C52" s="995" t="s">
        <v>225</v>
      </c>
      <c r="D52" s="992"/>
      <c r="E52" s="1003">
        <v>0</v>
      </c>
      <c r="F52" s="1012"/>
      <c r="G52" s="1013"/>
      <c r="H52" s="1012"/>
      <c r="I52" s="1013"/>
      <c r="J52" s="1012"/>
      <c r="K52" s="1013"/>
      <c r="L52" s="175"/>
      <c r="M52" s="997"/>
      <c r="O52"/>
    </row>
    <row r="53" spans="1:21" ht="18">
      <c r="A53" s="89">
        <f t="shared" si="1"/>
        <v>29</v>
      </c>
      <c r="C53" s="992" t="str">
        <f>"Taxable Property Basis (Ln "&amp;A51&amp;" - Ln "&amp;A52&amp;")"</f>
        <v>Taxable Property Basis (Ln 27 - Ln 28)</v>
      </c>
      <c r="D53" s="992"/>
      <c r="E53" s="999">
        <f>+E51-E52</f>
        <v>0</v>
      </c>
      <c r="F53" s="992"/>
      <c r="G53" s="999">
        <f>+G51-G52</f>
        <v>2685013720.8033247</v>
      </c>
      <c r="H53" s="992"/>
      <c r="I53" s="999">
        <f>+I51-I52</f>
        <v>5355856985.3088999</v>
      </c>
      <c r="J53" s="992"/>
      <c r="K53" s="999">
        <f>+K51-K52</f>
        <v>843317716.90824795</v>
      </c>
      <c r="L53" s="175"/>
      <c r="M53" s="997">
        <f>SUM(E53:K53)</f>
        <v>8884188423.0204735</v>
      </c>
      <c r="O53"/>
    </row>
    <row r="54" spans="1:21" ht="18">
      <c r="A54" s="89">
        <f t="shared" si="1"/>
        <v>30</v>
      </c>
      <c r="C54" s="1004" t="s">
        <v>461</v>
      </c>
      <c r="D54" s="992"/>
      <c r="E54" s="1147">
        <v>0.24</v>
      </c>
      <c r="F54" s="1148"/>
      <c r="G54" s="1147">
        <v>0.85</v>
      </c>
      <c r="H54" s="1148"/>
      <c r="I54" s="1147">
        <v>0.85</v>
      </c>
      <c r="J54" s="1148"/>
      <c r="K54" s="1147">
        <v>0.24</v>
      </c>
      <c r="L54" s="175"/>
      <c r="M54" s="1007">
        <f>SUM(E54:K54)</f>
        <v>2.1799999999999997</v>
      </c>
      <c r="O54"/>
    </row>
    <row r="55" spans="1:21" ht="18">
      <c r="A55" s="89">
        <f t="shared" si="1"/>
        <v>31</v>
      </c>
      <c r="C55" s="995" t="str">
        <f>"Weighted Net Plant (Ln "&amp;A53&amp;" * Ln "&amp;A54&amp;")"</f>
        <v>Weighted Net Plant (Ln 29 * Ln 30)</v>
      </c>
      <c r="D55" s="992"/>
      <c r="E55" s="999">
        <f>+E53*E54</f>
        <v>0</v>
      </c>
      <c r="F55" s="992"/>
      <c r="G55" s="999">
        <f>+G53*G54</f>
        <v>2282261662.682826</v>
      </c>
      <c r="H55" s="992"/>
      <c r="I55" s="999">
        <f>+I53*I54</f>
        <v>4552478437.5125647</v>
      </c>
      <c r="J55" s="992"/>
      <c r="K55" s="999">
        <f>+K53*K54</f>
        <v>202396252.05797949</v>
      </c>
      <c r="L55" s="175"/>
      <c r="M55" s="997"/>
      <c r="O55"/>
      <c r="P55"/>
      <c r="Q55"/>
      <c r="R55"/>
      <c r="S55"/>
      <c r="T55"/>
      <c r="U55"/>
    </row>
    <row r="56" spans="1:21" ht="18">
      <c r="A56" s="89">
        <f t="shared" si="1"/>
        <v>32</v>
      </c>
      <c r="C56" s="992" t="str">
        <f>+"General Plant Allocator (Ln "&amp;A55&amp;" / (Total - General Plant))"</f>
        <v>General Plant Allocator (Ln 31 / (Total - General Plant))</v>
      </c>
      <c r="D56" s="992"/>
      <c r="E56" s="1008">
        <f>IF(E54=0,0,+E55/($E55+$G55+$I55))</f>
        <v>0</v>
      </c>
      <c r="F56" s="992"/>
      <c r="G56" s="1008">
        <f>IF(G54=0,0,+G55/($E55+$G55+$I55))</f>
        <v>0.33392076790419301</v>
      </c>
      <c r="H56" s="992"/>
      <c r="I56" s="1008">
        <f>IF(I54=0,0,+I55/($E55+$G55+$I55))</f>
        <v>0.66607923209580699</v>
      </c>
      <c r="J56" s="992"/>
      <c r="K56" s="1008">
        <v>-1</v>
      </c>
      <c r="L56" s="175"/>
      <c r="M56" s="175"/>
      <c r="O56"/>
      <c r="P56"/>
      <c r="Q56"/>
      <c r="R56"/>
      <c r="S56"/>
      <c r="T56"/>
      <c r="U56"/>
    </row>
    <row r="57" spans="1:21" ht="18">
      <c r="A57" s="89">
        <f t="shared" si="1"/>
        <v>33</v>
      </c>
      <c r="C57" s="992" t="str">
        <f>"Functionalized General Plant (Ln "&amp;A56&amp;" * General Plant)"</f>
        <v>Functionalized General Plant (Ln 32 * General Plant)</v>
      </c>
      <c r="D57" s="992"/>
      <c r="E57" s="1009">
        <f>ROUND($K55*E56,0)</f>
        <v>0</v>
      </c>
      <c r="F57" s="992"/>
      <c r="G57" s="1009">
        <f>+G56*K55</f>
        <v>67584311.908131123</v>
      </c>
      <c r="H57" s="992"/>
      <c r="I57" s="1009">
        <f>ROUND($K55*I56,0)</f>
        <v>134811940</v>
      </c>
      <c r="J57" s="992"/>
      <c r="K57" s="1009">
        <f>ROUND($K55*K56,0)</f>
        <v>-202396252</v>
      </c>
      <c r="L57" s="175"/>
      <c r="M57" s="997">
        <f>IF(SUM(E57:K57)&lt;&gt;0,0,0)</f>
        <v>0</v>
      </c>
      <c r="O57"/>
      <c r="P57"/>
      <c r="Q57"/>
      <c r="R57"/>
      <c r="S57"/>
      <c r="T57"/>
      <c r="U57"/>
    </row>
    <row r="58" spans="1:21" ht="18">
      <c r="A58" s="89">
        <f>+A57+1</f>
        <v>34</v>
      </c>
      <c r="C58" s="992" t="str">
        <f>"Weighted "&amp;C49&amp;" Plant (Ln "&amp;A55&amp;" + "&amp;A57&amp;")"</f>
        <v>Weighted OHIO JURISDICTION Plant (Ln 31 + 33)</v>
      </c>
      <c r="D58" s="992"/>
      <c r="E58" s="999">
        <f>+E55+E57</f>
        <v>0</v>
      </c>
      <c r="F58" s="992"/>
      <c r="G58" s="999">
        <f>+G55+G57</f>
        <v>2349845974.5909572</v>
      </c>
      <c r="H58" s="992"/>
      <c r="I58" s="999">
        <f>+I55+I57</f>
        <v>4687290377.5125647</v>
      </c>
      <c r="J58" s="992"/>
      <c r="K58" s="999">
        <f>+K55+K57</f>
        <v>5.7979494333267212E-2</v>
      </c>
      <c r="L58" s="175"/>
      <c r="M58" s="997">
        <f>SUM(E58:K58)-SUM(E57:K57)</f>
        <v>7037136352.2533703</v>
      </c>
      <c r="O58"/>
    </row>
    <row r="59" spans="1:21" ht="18">
      <c r="A59" s="89">
        <f>+A58+1</f>
        <v>35</v>
      </c>
      <c r="C59" s="992" t="str">
        <f>"Functional Percentage (Ln "&amp;A58&amp;"/Total Ln "&amp;A58&amp;")"</f>
        <v>Functional Percentage (Ln 34/Total Ln 34)</v>
      </c>
      <c r="D59" s="992"/>
      <c r="E59" s="1000">
        <f>+E58/M58</f>
        <v>0</v>
      </c>
      <c r="F59" s="992"/>
      <c r="G59" s="1010">
        <f>+G58/M58</f>
        <v>0.33392076790419301</v>
      </c>
      <c r="H59" s="992"/>
      <c r="I59" s="1000">
        <f>+I58/M58</f>
        <v>0.66607923207451303</v>
      </c>
      <c r="J59" s="992"/>
      <c r="K59" s="1011"/>
      <c r="L59" s="175"/>
      <c r="M59" s="997"/>
      <c r="O59"/>
    </row>
    <row r="60" spans="1:21" ht="18">
      <c r="A60" s="89"/>
      <c r="C60" s="998" t="s">
        <v>918</v>
      </c>
      <c r="D60" s="992"/>
      <c r="E60" s="999"/>
      <c r="F60" s="992"/>
      <c r="G60" s="999"/>
      <c r="H60" s="992"/>
      <c r="I60" s="999"/>
      <c r="J60" s="992"/>
      <c r="K60" s="999"/>
      <c r="L60" s="175"/>
      <c r="M60" s="997"/>
      <c r="O60"/>
    </row>
    <row r="61" spans="1:21" ht="18">
      <c r="A61" s="89">
        <f>+A59+1</f>
        <v>36</v>
      </c>
      <c r="C61" s="995" t="str">
        <f>"Net Plant in "&amp;C60&amp;" (Ln "&amp;A48&amp;" - Ln "&amp;A51&amp;")"</f>
        <v>Net Plant in WEST VA JURISDICTION (Ln 25 - Ln 27)</v>
      </c>
      <c r="D61" s="1011"/>
      <c r="E61" s="999">
        <f>+E48-E51</f>
        <v>0</v>
      </c>
      <c r="F61" s="992"/>
      <c r="G61" s="999">
        <f>+G48-G51</f>
        <v>107038887.93052244</v>
      </c>
      <c r="H61" s="992"/>
      <c r="I61" s="999">
        <f>+I48-I51</f>
        <v>158914.83725261688</v>
      </c>
      <c r="J61" s="992"/>
      <c r="K61" s="999">
        <f>+K48-K51</f>
        <v>5753417.174828887</v>
      </c>
      <c r="L61" s="175"/>
      <c r="M61" s="997">
        <f>SUM(E61:K61)</f>
        <v>112951219.94260395</v>
      </c>
      <c r="O61"/>
    </row>
    <row r="62" spans="1:21" ht="18">
      <c r="A62" s="89">
        <f t="shared" ref="A62:A69" si="2">+A61+1</f>
        <v>37</v>
      </c>
      <c r="C62" s="995" t="s">
        <v>225</v>
      </c>
      <c r="D62" s="1011"/>
      <c r="E62" s="1003">
        <v>0</v>
      </c>
      <c r="F62" s="1012"/>
      <c r="G62" s="1013"/>
      <c r="H62" s="1012"/>
      <c r="I62" s="1013"/>
      <c r="J62" s="1012"/>
      <c r="K62" s="1013"/>
      <c r="L62" s="175"/>
      <c r="M62" s="997"/>
      <c r="O62"/>
    </row>
    <row r="63" spans="1:21" ht="18">
      <c r="A63" s="89">
        <f t="shared" si="2"/>
        <v>38</v>
      </c>
      <c r="C63" s="992" t="str">
        <f>"Taxable Property Basis (Ln "&amp;A61&amp;" - Ln "&amp;A62&amp;")"</f>
        <v>Taxable Property Basis (Ln 36 - Ln 37)</v>
      </c>
      <c r="D63" s="1011"/>
      <c r="E63" s="999">
        <f>+E61-E62</f>
        <v>0</v>
      </c>
      <c r="F63" s="992"/>
      <c r="G63" s="999">
        <f>+G61-G62</f>
        <v>107038887.93052244</v>
      </c>
      <c r="H63" s="992"/>
      <c r="I63" s="999">
        <f>+I61-I62</f>
        <v>158914.83725261688</v>
      </c>
      <c r="J63" s="992"/>
      <c r="K63" s="999">
        <f>+K61-K62</f>
        <v>5753417.174828887</v>
      </c>
      <c r="L63" s="175"/>
      <c r="M63" s="997">
        <f>SUM(E63:K63)</f>
        <v>112951219.94260395</v>
      </c>
      <c r="O63"/>
    </row>
    <row r="64" spans="1:21" ht="18">
      <c r="A64" s="89">
        <f t="shared" si="2"/>
        <v>39</v>
      </c>
      <c r="C64" s="1004" t="s">
        <v>461</v>
      </c>
      <c r="D64" s="1011"/>
      <c r="E64" s="1005">
        <v>1</v>
      </c>
      <c r="F64" s="1006"/>
      <c r="G64" s="1005">
        <v>1</v>
      </c>
      <c r="H64" s="1006"/>
      <c r="I64" s="1005">
        <v>1</v>
      </c>
      <c r="J64" s="1006"/>
      <c r="K64" s="1005">
        <v>1</v>
      </c>
      <c r="L64" s="175"/>
      <c r="M64" s="1007">
        <f>SUM(E64:K64)</f>
        <v>4</v>
      </c>
      <c r="O64"/>
    </row>
    <row r="65" spans="1:15" ht="18">
      <c r="A65" s="89">
        <f t="shared" si="2"/>
        <v>40</v>
      </c>
      <c r="C65" s="995" t="str">
        <f>"Weighted Net Plant (Ln "&amp;A63&amp;" * Ln "&amp;A64&amp;")"</f>
        <v>Weighted Net Plant (Ln 38 * Ln 39)</v>
      </c>
      <c r="D65" s="1011"/>
      <c r="E65" s="999">
        <f>+E63*E64</f>
        <v>0</v>
      </c>
      <c r="F65" s="992"/>
      <c r="G65" s="999">
        <f>+G63*G64</f>
        <v>107038887.93052244</v>
      </c>
      <c r="H65" s="992"/>
      <c r="I65" s="999">
        <f>+I63*I64</f>
        <v>158914.83725261688</v>
      </c>
      <c r="J65" s="992"/>
      <c r="K65" s="999">
        <f>+K63*K64</f>
        <v>5753417.174828887</v>
      </c>
      <c r="L65" s="175"/>
      <c r="M65" s="997"/>
      <c r="O65"/>
    </row>
    <row r="66" spans="1:15" ht="18">
      <c r="A66" s="89">
        <f t="shared" si="2"/>
        <v>41</v>
      </c>
      <c r="C66" s="992" t="str">
        <f>+"General Plant Allocator (Ln "&amp;A65&amp;" / (Total - General Plant))"</f>
        <v>General Plant Allocator (Ln 40 / (Total - General Plant))</v>
      </c>
      <c r="D66" s="992"/>
      <c r="E66" s="1008">
        <f>IF(E64=0,0,+E65/($E65+$G65+$I65))</f>
        <v>0</v>
      </c>
      <c r="F66" s="992"/>
      <c r="G66" s="1008">
        <f>IF(G64=0,0,+G65/($E65+$G65+$I65))</f>
        <v>0.99851755508835494</v>
      </c>
      <c r="H66" s="992"/>
      <c r="I66" s="1008">
        <f>IF(I64=0,0,+I65/($E65+$G65+$I65))</f>
        <v>1.4824449116450414E-3</v>
      </c>
      <c r="J66" s="992"/>
      <c r="K66" s="1008">
        <v>-1</v>
      </c>
      <c r="L66" s="175"/>
      <c r="M66" s="175"/>
      <c r="O66"/>
    </row>
    <row r="67" spans="1:15" ht="18">
      <c r="A67" s="89">
        <f t="shared" si="2"/>
        <v>42</v>
      </c>
      <c r="C67" s="992" t="str">
        <f>"Functionalized General Plant (Ln "&amp;A66&amp;" * General Plant)"</f>
        <v>Functionalized General Plant (Ln 41 * General Plant)</v>
      </c>
      <c r="D67" s="992"/>
      <c r="E67" s="1009">
        <f>ROUND($K65*E66,0)</f>
        <v>0</v>
      </c>
      <c r="F67" s="992"/>
      <c r="G67" s="1009">
        <f>+G66*K65</f>
        <v>5744888.0508134905</v>
      </c>
      <c r="H67" s="992"/>
      <c r="I67" s="1009">
        <f>ROUND($K65*I66,0)</f>
        <v>8529</v>
      </c>
      <c r="J67" s="992"/>
      <c r="K67" s="1009">
        <f>ROUND($K65*K66,0)</f>
        <v>-5753417</v>
      </c>
      <c r="L67" s="175"/>
      <c r="M67" s="997">
        <f>IF(SUM(E67:K67)&lt;&gt;0,0,0)</f>
        <v>0</v>
      </c>
      <c r="O67"/>
    </row>
    <row r="68" spans="1:15" ht="18">
      <c r="A68" s="89">
        <f t="shared" si="2"/>
        <v>43</v>
      </c>
      <c r="C68" s="992" t="str">
        <f>"Weighted "&amp;C60&amp;" Plant (Ln "&amp;A65&amp;" + "&amp;A67&amp;")"</f>
        <v>Weighted WEST VA JURISDICTION Plant (Ln 40 + 42)</v>
      </c>
      <c r="D68" s="992"/>
      <c r="E68" s="999">
        <f>+E65+E67</f>
        <v>0</v>
      </c>
      <c r="F68" s="992"/>
      <c r="G68" s="999">
        <f>+G65+G67</f>
        <v>112783775.98133594</v>
      </c>
      <c r="H68" s="992"/>
      <c r="I68" s="999">
        <f>+I65+I67</f>
        <v>167443.83725261688</v>
      </c>
      <c r="J68" s="992"/>
      <c r="K68" s="999">
        <f>+K65+K67</f>
        <v>0.17482888698577881</v>
      </c>
      <c r="L68" s="175"/>
      <c r="M68" s="997">
        <f>SUM(E68:K68)-SUM(E67:K67)</f>
        <v>112951219.94260395</v>
      </c>
      <c r="O68"/>
    </row>
    <row r="69" spans="1:15" ht="18">
      <c r="A69" s="89">
        <f t="shared" si="2"/>
        <v>44</v>
      </c>
      <c r="C69" s="992" t="str">
        <f>"Functional Percentage (Ln "&amp;A68&amp;"/Total Ln "&amp;A68&amp;")"</f>
        <v>Functional Percentage (Ln 43/Total Ln 43)</v>
      </c>
      <c r="D69" s="992"/>
      <c r="E69" s="1000">
        <f>+E68/M68</f>
        <v>0</v>
      </c>
      <c r="F69" s="992"/>
      <c r="G69" s="1010">
        <f>+G68/M68</f>
        <v>0.99851755508835505</v>
      </c>
      <c r="H69" s="992"/>
      <c r="I69" s="1000">
        <f>+I68/M68</f>
        <v>1.4824438136896911E-3</v>
      </c>
      <c r="J69" s="992"/>
      <c r="K69" s="1011"/>
      <c r="L69" s="175"/>
      <c r="M69" s="997"/>
      <c r="O69"/>
    </row>
    <row r="70" spans="1:15" ht="19.5">
      <c r="A70" s="89"/>
      <c r="C70" s="85"/>
      <c r="D70" s="85"/>
      <c r="E70" s="172"/>
      <c r="F70" s="85"/>
      <c r="G70" s="172"/>
      <c r="H70" s="85"/>
      <c r="I70" s="172"/>
      <c r="J70" s="85"/>
      <c r="K70"/>
      <c r="L70" s="85"/>
      <c r="M70" s="124"/>
      <c r="O70"/>
    </row>
    <row r="71" spans="1:15" ht="18">
      <c r="A71" s="89"/>
      <c r="C71" s="88"/>
      <c r="D71" s="88"/>
      <c r="E71" s="1014"/>
      <c r="F71" s="1015"/>
      <c r="G71" s="1016"/>
      <c r="H71" s="1015"/>
      <c r="I71" s="1014"/>
      <c r="J71" s="1015"/>
      <c r="K71" s="1014"/>
      <c r="L71" s="88"/>
      <c r="M71" s="1017"/>
      <c r="O71"/>
    </row>
  </sheetData>
  <mergeCells count="7">
    <mergeCell ref="A8:M8"/>
    <mergeCell ref="A7:M7"/>
    <mergeCell ref="C46:M46"/>
    <mergeCell ref="A3:M3"/>
    <mergeCell ref="A4:M4"/>
    <mergeCell ref="A5:M5"/>
    <mergeCell ref="A6:M6"/>
  </mergeCells>
  <phoneticPr fontId="74" type="noConversion"/>
  <pageMargins left="0.59" right="0.84" top="1" bottom="1" header="0.75" footer="0.5"/>
  <pageSetup scale="43" orientation="portrait" r:id="rId1"/>
  <headerFooter alignWithMargins="0">
    <oddHeader>&amp;R&amp;"Arial,Bold"Formula Rate 
&amp;A
Page &amp;P of &amp;N</oddHeader>
  </headerFooter>
  <colBreaks count="1" manualBreakCount="1">
    <brk id="13" min="2" max="90"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T128"/>
  <sheetViews>
    <sheetView tabSelected="1" view="pageBreakPreview" topLeftCell="A5" zoomScale="70" zoomScaleNormal="70" zoomScaleSheetLayoutView="70" workbookViewId="0">
      <selection activeCell="D11" sqref="D11"/>
    </sheetView>
  </sheetViews>
  <sheetFormatPr defaultColWidth="9.140625" defaultRowHeight="12.75"/>
  <cols>
    <col min="1" max="1" width="7.42578125" style="98" customWidth="1"/>
    <col min="2" max="2" width="1.5703125" style="87" customWidth="1"/>
    <col min="3" max="3" width="68.5703125" style="87" customWidth="1"/>
    <col min="4" max="4" width="19.140625" style="87" customWidth="1"/>
    <col min="5" max="5" width="20.42578125" style="94" customWidth="1"/>
    <col min="6" max="6" width="20.42578125" style="87" bestFit="1" customWidth="1"/>
    <col min="7" max="7" width="40.42578125" style="87" bestFit="1" customWidth="1"/>
    <col min="8" max="8" width="13" style="87" bestFit="1" customWidth="1"/>
    <col min="9" max="9" width="34" style="87" customWidth="1"/>
    <col min="10" max="16384" width="9.140625" style="87"/>
  </cols>
  <sheetData>
    <row r="1" spans="1:20" ht="15.75">
      <c r="A1" s="657" t="s">
        <v>114</v>
      </c>
    </row>
    <row r="2" spans="1:20" ht="15.75">
      <c r="A2" s="657" t="s">
        <v>114</v>
      </c>
    </row>
    <row r="3" spans="1:20" ht="18.75" customHeight="1">
      <c r="A3" s="1234" t="s">
        <v>387</v>
      </c>
      <c r="B3" s="1234"/>
      <c r="C3" s="1234"/>
      <c r="D3" s="1234"/>
      <c r="E3" s="1234"/>
      <c r="F3" s="1234"/>
    </row>
    <row r="4" spans="1:20" ht="18.75" customHeight="1">
      <c r="A4" s="1235" t="str">
        <f>"Cost of Service Formula Rate Using Actual/Projected FF1 Balances"</f>
        <v>Cost of Service Formula Rate Using Actual/Projected FF1 Balances</v>
      </c>
      <c r="B4" s="1235"/>
      <c r="C4" s="1235"/>
      <c r="D4" s="1235"/>
      <c r="E4" s="1235"/>
      <c r="F4" s="1235"/>
    </row>
    <row r="5" spans="1:20" ht="18.75" customHeight="1">
      <c r="A5" s="1235" t="s">
        <v>217</v>
      </c>
      <c r="B5" s="1235"/>
      <c r="C5" s="1235"/>
      <c r="D5" s="1235"/>
      <c r="E5" s="1235"/>
      <c r="F5" s="1235"/>
    </row>
    <row r="6" spans="1:20" ht="18" customHeight="1">
      <c r="A6" s="1236" t="str">
        <f>TCOS!F9</f>
        <v>Ohio Power Company</v>
      </c>
      <c r="B6" s="1235"/>
      <c r="C6" s="1235"/>
      <c r="D6" s="1235"/>
      <c r="E6" s="1235"/>
      <c r="F6" s="1235"/>
    </row>
    <row r="7" spans="1:20" ht="18" customHeight="1">
      <c r="A7" s="1243"/>
      <c r="B7" s="1243"/>
      <c r="C7" s="1243"/>
      <c r="D7" s="1243"/>
      <c r="E7" s="1243"/>
      <c r="F7" s="1243"/>
    </row>
    <row r="8" spans="1:20" ht="19.5" customHeight="1">
      <c r="A8" s="89"/>
      <c r="B8" s="88"/>
      <c r="C8" s="25" t="s">
        <v>162</v>
      </c>
      <c r="E8" s="25" t="s">
        <v>163</v>
      </c>
      <c r="F8" s="25" t="s">
        <v>164</v>
      </c>
      <c r="G8" s="25" t="s">
        <v>165</v>
      </c>
    </row>
    <row r="9" spans="1:20" ht="18">
      <c r="A9" s="161"/>
      <c r="B9" s="162"/>
      <c r="C9" s="162"/>
      <c r="D9" s="162"/>
      <c r="E9"/>
      <c r="F9"/>
      <c r="G9" s="28"/>
      <c r="H9" s="28"/>
      <c r="I9" s="28"/>
      <c r="J9" s="28"/>
      <c r="K9" s="28"/>
      <c r="L9" s="28"/>
      <c r="M9" s="28"/>
      <c r="N9" s="28"/>
      <c r="O9" s="28"/>
      <c r="P9" s="28"/>
      <c r="Q9" s="28"/>
      <c r="R9" s="28"/>
      <c r="S9" s="28"/>
      <c r="T9" s="28"/>
    </row>
    <row r="10" spans="1:20" ht="18">
      <c r="A10" s="161" t="s">
        <v>169</v>
      </c>
      <c r="B10" s="162"/>
      <c r="C10" s="162"/>
      <c r="D10" s="162"/>
      <c r="E10" s="163" t="s">
        <v>118</v>
      </c>
      <c r="F10" s="161" t="s">
        <v>76</v>
      </c>
    </row>
    <row r="11" spans="1:20" ht="18">
      <c r="A11" s="165" t="s">
        <v>117</v>
      </c>
      <c r="B11" s="204"/>
      <c r="C11" s="165" t="s">
        <v>30</v>
      </c>
      <c r="D11" s="802"/>
      <c r="E11" s="166" t="s">
        <v>183</v>
      </c>
      <c r="F11" s="165" t="s">
        <v>77</v>
      </c>
      <c r="G11" s="166" t="s">
        <v>78</v>
      </c>
      <c r="H11" s="802"/>
      <c r="I11" s="802"/>
    </row>
    <row r="12" spans="1:20" ht="18">
      <c r="A12" s="89"/>
      <c r="B12" s="88"/>
      <c r="C12" s="86"/>
      <c r="D12" s="86"/>
      <c r="E12" s="86"/>
      <c r="F12" s="161"/>
      <c r="G12" s="163"/>
      <c r="I12" s="803"/>
    </row>
    <row r="13" spans="1:20" ht="18">
      <c r="A13" s="89"/>
      <c r="B13" s="88"/>
      <c r="C13" s="88"/>
      <c r="D13" s="88"/>
      <c r="E13" s="90"/>
      <c r="F13" s="86"/>
    </row>
    <row r="14" spans="1:20" ht="19.5">
      <c r="A14" s="89">
        <v>1</v>
      </c>
      <c r="B14" s="88"/>
      <c r="C14" s="91" t="s">
        <v>323</v>
      </c>
      <c r="D14" s="88"/>
      <c r="E14" s="85"/>
      <c r="F14" s="88"/>
    </row>
    <row r="15" spans="1:20" ht="19.5">
      <c r="A15" s="89">
        <f>+A14+1</f>
        <v>2</v>
      </c>
      <c r="B15" s="88"/>
      <c r="C15" s="85" t="s">
        <v>307</v>
      </c>
      <c r="D15"/>
      <c r="E15" s="92">
        <f>SUM(F16:F19)</f>
        <v>9397930</v>
      </c>
      <c r="F15" s="85"/>
    </row>
    <row r="16" spans="1:20" ht="19.5">
      <c r="A16" s="89"/>
      <c r="B16" s="88"/>
      <c r="C16" s="93"/>
      <c r="D16"/>
      <c r="E16" s="85"/>
      <c r="F16" s="631">
        <v>9397930</v>
      </c>
      <c r="G16" s="632" t="s">
        <v>1395</v>
      </c>
    </row>
    <row r="17" spans="1:9" ht="19.5">
      <c r="A17" s="89"/>
      <c r="B17" s="88"/>
      <c r="C17" s="93"/>
      <c r="D17"/>
      <c r="E17" s="85"/>
      <c r="F17" s="631"/>
      <c r="G17" s="632"/>
    </row>
    <row r="18" spans="1:9" ht="19.5">
      <c r="A18" s="89"/>
      <c r="B18" s="88"/>
      <c r="C18" s="93"/>
      <c r="D18"/>
      <c r="E18" s="85"/>
      <c r="F18" s="631"/>
      <c r="G18" s="632"/>
    </row>
    <row r="19" spans="1:9" ht="18" customHeight="1">
      <c r="A19" s="89"/>
      <c r="B19" s="88"/>
      <c r="C19" s="93"/>
      <c r="D19"/>
      <c r="E19" s="85"/>
      <c r="F19" s="631"/>
      <c r="G19" s="632"/>
    </row>
    <row r="20" spans="1:9" ht="18" customHeight="1">
      <c r="A20" s="89"/>
      <c r="B20" s="88"/>
      <c r="C20" s="93"/>
      <c r="D20"/>
      <c r="E20" s="85"/>
      <c r="F20" s="631"/>
      <c r="G20" s="632"/>
    </row>
    <row r="21" spans="1:9" ht="18" customHeight="1">
      <c r="A21" s="89"/>
      <c r="B21" s="88"/>
      <c r="C21" s="93"/>
      <c r="D21"/>
      <c r="E21" s="85"/>
      <c r="F21" s="659"/>
      <c r="G21" s="660"/>
    </row>
    <row r="22" spans="1:9" ht="18" customHeight="1">
      <c r="A22" s="89"/>
      <c r="B22" s="88"/>
      <c r="C22" s="25" t="s">
        <v>162</v>
      </c>
      <c r="D22" s="25" t="s">
        <v>163</v>
      </c>
      <c r="E22" s="25" t="s">
        <v>164</v>
      </c>
      <c r="F22" s="25" t="s">
        <v>165</v>
      </c>
      <c r="G22" s="25" t="s">
        <v>84</v>
      </c>
      <c r="H22" s="827" t="s">
        <v>85</v>
      </c>
      <c r="I22" s="25" t="s">
        <v>86</v>
      </c>
    </row>
    <row r="23" spans="1:9" ht="58.5" customHeight="1">
      <c r="A23" s="165"/>
      <c r="B23" s="204"/>
      <c r="C23" s="828" t="s">
        <v>747</v>
      </c>
      <c r="D23" s="829" t="s">
        <v>665</v>
      </c>
      <c r="E23" s="830" t="s">
        <v>745</v>
      </c>
      <c r="F23" s="831" t="s">
        <v>746</v>
      </c>
      <c r="G23" s="832" t="s">
        <v>78</v>
      </c>
      <c r="H23" s="830" t="s">
        <v>810</v>
      </c>
      <c r="I23" s="831" t="s">
        <v>744</v>
      </c>
    </row>
    <row r="24" spans="1:9" ht="19.5">
      <c r="A24" s="89"/>
      <c r="B24" s="88"/>
      <c r="C24" s="93"/>
      <c r="D24" s="4"/>
      <c r="E24" s="85"/>
      <c r="F24" s="92"/>
      <c r="G24" s="205"/>
    </row>
    <row r="25" spans="1:9" ht="39">
      <c r="A25" s="794">
        <f>+A15+1</f>
        <v>3</v>
      </c>
      <c r="B25" s="795"/>
      <c r="C25" s="826" t="s">
        <v>743</v>
      </c>
      <c r="D25" s="833"/>
      <c r="E25" s="834">
        <f>E27+E37+E48+E54</f>
        <v>403888174.61000001</v>
      </c>
      <c r="F25" s="835"/>
      <c r="G25" s="804"/>
      <c r="H25" s="836"/>
      <c r="I25" s="834">
        <f>I27+I37+I48+I54</f>
        <v>132193435.01340652</v>
      </c>
    </row>
    <row r="26" spans="1:9" ht="19.5">
      <c r="A26" s="89"/>
      <c r="B26" s="88"/>
      <c r="C26" s="91"/>
      <c r="D26"/>
      <c r="E26" s="85"/>
      <c r="F26" s="206"/>
      <c r="G26" s="205"/>
      <c r="H26" s="796"/>
      <c r="I26" s="797"/>
    </row>
    <row r="27" spans="1:9" ht="19.5">
      <c r="A27" s="89">
        <f>+A25+1</f>
        <v>4</v>
      </c>
      <c r="B27" s="88"/>
      <c r="C27" s="798" t="s">
        <v>919</v>
      </c>
      <c r="D27"/>
      <c r="E27" s="92">
        <f>SUM(F28:F36)</f>
        <v>403186781.69</v>
      </c>
      <c r="F27" s="206"/>
      <c r="G27" s="205"/>
      <c r="H27" s="88"/>
      <c r="I27" s="793">
        <f>SUM(I28:I36)</f>
        <v>131493218.40187201</v>
      </c>
    </row>
    <row r="28" spans="1:9" ht="19.5">
      <c r="A28" s="89"/>
      <c r="B28" s="88"/>
      <c r="C28" s="798"/>
      <c r="D28" s="981">
        <v>2021</v>
      </c>
      <c r="E28" s="92"/>
      <c r="F28" s="631">
        <v>1009842.6599999999</v>
      </c>
      <c r="G28" s="632" t="s">
        <v>630</v>
      </c>
      <c r="H28" s="792">
        <v>0.31878744268937587</v>
      </c>
      <c r="I28" s="840">
        <f t="shared" ref="I28:I31" si="0">+F28*H28</f>
        <v>321925.15910003684</v>
      </c>
    </row>
    <row r="29" spans="1:9" ht="19.5">
      <c r="A29" s="89"/>
      <c r="B29" s="88"/>
      <c r="C29" s="798"/>
      <c r="D29" s="981">
        <v>2022</v>
      </c>
      <c r="E29" s="92"/>
      <c r="F29" s="631">
        <v>4929535.6400000006</v>
      </c>
      <c r="G29" s="632" t="s">
        <v>630</v>
      </c>
      <c r="H29" s="792">
        <v>0.31823968849741036</v>
      </c>
      <c r="I29" s="840">
        <f t="shared" si="0"/>
        <v>1568773.8865104825</v>
      </c>
    </row>
    <row r="30" spans="1:9" ht="19.5">
      <c r="A30" s="89"/>
      <c r="B30" s="88"/>
      <c r="C30" s="798"/>
      <c r="D30" s="981">
        <v>2023</v>
      </c>
      <c r="E30" s="92"/>
      <c r="F30" s="631">
        <v>-5135976.7300000004</v>
      </c>
      <c r="G30" s="632" t="s">
        <v>630</v>
      </c>
      <c r="H30" s="792">
        <v>0.32074840849596903</v>
      </c>
      <c r="I30" s="840">
        <f t="shared" si="0"/>
        <v>-1647356.3622198314</v>
      </c>
    </row>
    <row r="31" spans="1:9" ht="19.5">
      <c r="A31" s="89"/>
      <c r="B31" s="88"/>
      <c r="C31" s="798"/>
      <c r="D31" s="981">
        <v>2024</v>
      </c>
      <c r="E31" s="92"/>
      <c r="F31" s="631">
        <v>400936466.12</v>
      </c>
      <c r="G31" s="632" t="s">
        <v>630</v>
      </c>
      <c r="H31" s="792">
        <v>0.32615322410052766</v>
      </c>
      <c r="I31" s="840">
        <f t="shared" si="0"/>
        <v>130766721.08450998</v>
      </c>
    </row>
    <row r="32" spans="1:9" ht="19.5">
      <c r="A32" s="89"/>
      <c r="B32" s="88"/>
      <c r="C32" s="798"/>
      <c r="D32" s="981">
        <v>2025</v>
      </c>
      <c r="E32" s="92"/>
      <c r="F32" s="631">
        <v>1446914</v>
      </c>
      <c r="G32" s="632" t="s">
        <v>630</v>
      </c>
      <c r="H32" s="792">
        <f>'WS H Other Taxes'!G59</f>
        <v>0.33392076790419301</v>
      </c>
      <c r="I32" s="840">
        <f t="shared" ref="I32:I46" si="1">F32*H32</f>
        <v>483154.63397132751</v>
      </c>
    </row>
    <row r="33" spans="1:9" ht="19.5">
      <c r="A33" s="89"/>
      <c r="B33" s="88"/>
      <c r="C33" s="798"/>
      <c r="D33" s="981"/>
      <c r="E33" s="92"/>
      <c r="F33" s="631"/>
      <c r="G33" s="632"/>
      <c r="H33" s="792"/>
      <c r="I33" s="840">
        <f t="shared" si="1"/>
        <v>0</v>
      </c>
    </row>
    <row r="34" spans="1:9" ht="19.5">
      <c r="A34" s="89"/>
      <c r="B34" s="88"/>
      <c r="C34" s="798"/>
      <c r="D34" s="981"/>
      <c r="E34" s="92"/>
      <c r="F34" s="631"/>
      <c r="G34" s="632"/>
      <c r="H34" s="792"/>
      <c r="I34" s="840">
        <f t="shared" si="1"/>
        <v>0</v>
      </c>
    </row>
    <row r="35" spans="1:9" ht="19.5">
      <c r="A35" s="89"/>
      <c r="B35" s="88"/>
      <c r="C35" s="798"/>
      <c r="D35" s="981"/>
      <c r="E35" s="92"/>
      <c r="F35" s="631"/>
      <c r="G35" s="632"/>
      <c r="H35" s="792"/>
      <c r="I35" s="840">
        <f t="shared" si="1"/>
        <v>0</v>
      </c>
    </row>
    <row r="36" spans="1:9" ht="19.5">
      <c r="A36" s="89"/>
      <c r="B36" s="88"/>
      <c r="C36" s="798"/>
      <c r="D36" s="981"/>
      <c r="E36" s="92"/>
      <c r="F36" s="631"/>
      <c r="G36" s="632"/>
      <c r="H36" s="792"/>
      <c r="I36" s="840">
        <f t="shared" si="1"/>
        <v>0</v>
      </c>
    </row>
    <row r="37" spans="1:9" ht="19.5">
      <c r="A37" s="89">
        <f>+A27+1</f>
        <v>5</v>
      </c>
      <c r="B37" s="88"/>
      <c r="C37" s="798" t="s">
        <v>974</v>
      </c>
      <c r="D37"/>
      <c r="E37" s="92">
        <f>SUM(F38:F44)</f>
        <v>701392.91999999993</v>
      </c>
      <c r="F37" s="92"/>
      <c r="G37" s="205"/>
      <c r="I37" s="840">
        <f>SUM(I38:I46)</f>
        <v>700216.61153450527</v>
      </c>
    </row>
    <row r="38" spans="1:9" ht="19.5">
      <c r="A38" s="89"/>
      <c r="B38" s="88"/>
      <c r="C38" s="798"/>
      <c r="D38" s="981">
        <v>2023</v>
      </c>
      <c r="E38" s="92"/>
      <c r="F38" s="631">
        <v>338248.3</v>
      </c>
      <c r="G38" s="632" t="s">
        <v>630</v>
      </c>
      <c r="H38" s="792">
        <v>0.99819999999999998</v>
      </c>
      <c r="I38" s="840">
        <f>F38*H38</f>
        <v>337639.45305999997</v>
      </c>
    </row>
    <row r="39" spans="1:9" ht="19.5">
      <c r="A39" s="89"/>
      <c r="B39" s="88"/>
      <c r="C39" s="798"/>
      <c r="D39" s="981">
        <v>2024</v>
      </c>
      <c r="E39" s="92"/>
      <c r="F39" s="631">
        <v>363144.62</v>
      </c>
      <c r="G39" s="632" t="s">
        <v>630</v>
      </c>
      <c r="H39" s="792">
        <v>0.99843736766499613</v>
      </c>
      <c r="I39" s="840">
        <f t="shared" si="1"/>
        <v>362577.1584745053</v>
      </c>
    </row>
    <row r="40" spans="1:9" ht="19.5">
      <c r="A40" s="89"/>
      <c r="B40" s="88"/>
      <c r="C40" s="798"/>
      <c r="D40" s="631"/>
      <c r="E40" s="92"/>
      <c r="F40" s="631"/>
      <c r="G40" s="632"/>
      <c r="H40" s="632"/>
      <c r="I40" s="840">
        <f t="shared" si="1"/>
        <v>0</v>
      </c>
    </row>
    <row r="41" spans="1:9" ht="19.5">
      <c r="A41" s="89"/>
      <c r="B41" s="88"/>
      <c r="C41" s="798"/>
      <c r="D41" s="631"/>
      <c r="E41" s="92"/>
      <c r="F41" s="631"/>
      <c r="G41" s="632"/>
      <c r="H41" s="632"/>
      <c r="I41" s="840">
        <f t="shared" si="1"/>
        <v>0</v>
      </c>
    </row>
    <row r="42" spans="1:9" ht="19.5">
      <c r="A42" s="89"/>
      <c r="B42" s="88"/>
      <c r="C42" s="798"/>
      <c r="D42" s="631"/>
      <c r="E42" s="92"/>
      <c r="F42" s="631"/>
      <c r="G42" s="632"/>
      <c r="H42" s="632"/>
      <c r="I42" s="840">
        <f t="shared" si="1"/>
        <v>0</v>
      </c>
    </row>
    <row r="43" spans="1:9" ht="19.5">
      <c r="A43" s="89"/>
      <c r="B43" s="88"/>
      <c r="C43" s="798"/>
      <c r="D43" s="631"/>
      <c r="E43" s="92"/>
      <c r="F43" s="631"/>
      <c r="G43" s="632"/>
      <c r="H43" s="632"/>
      <c r="I43" s="840">
        <f t="shared" si="1"/>
        <v>0</v>
      </c>
    </row>
    <row r="44" spans="1:9" ht="19.5">
      <c r="A44" s="89"/>
      <c r="B44" s="88"/>
      <c r="C44" s="798"/>
      <c r="D44" s="631"/>
      <c r="E44" s="92"/>
      <c r="F44" s="631"/>
      <c r="G44" s="632"/>
      <c r="H44" s="632"/>
      <c r="I44" s="840">
        <f t="shared" si="1"/>
        <v>0</v>
      </c>
    </row>
    <row r="45" spans="1:9" ht="19.5">
      <c r="A45" s="89"/>
      <c r="B45" s="88"/>
      <c r="C45" s="798"/>
      <c r="D45" s="631"/>
      <c r="E45" s="92"/>
      <c r="F45" s="631"/>
      <c r="G45" s="632"/>
      <c r="H45" s="632"/>
      <c r="I45" s="840">
        <f t="shared" si="1"/>
        <v>0</v>
      </c>
    </row>
    <row r="46" spans="1:9" ht="19.5">
      <c r="A46" s="89"/>
      <c r="B46" s="88"/>
      <c r="C46" s="798"/>
      <c r="D46" s="631"/>
      <c r="E46" s="92"/>
      <c r="F46" s="631"/>
      <c r="G46" s="632"/>
      <c r="H46" s="632"/>
      <c r="I46" s="840">
        <f t="shared" si="1"/>
        <v>0</v>
      </c>
    </row>
    <row r="47" spans="1:9" ht="19.5">
      <c r="A47" s="89"/>
      <c r="B47" s="88"/>
      <c r="C47" s="798"/>
      <c r="D47" s="88"/>
      <c r="E47" s="92"/>
      <c r="F47" s="4"/>
      <c r="G47" s="237"/>
    </row>
    <row r="48" spans="1:9" ht="19.5">
      <c r="A48" s="89">
        <f>+A37+1</f>
        <v>6</v>
      </c>
      <c r="B48" s="88"/>
      <c r="C48" s="798" t="s">
        <v>920</v>
      </c>
      <c r="D48" s="178"/>
      <c r="E48" s="92">
        <f>SUM(F49:F52)</f>
        <v>0</v>
      </c>
      <c r="F48" s="85" t="s">
        <v>114</v>
      </c>
      <c r="G48" s="237" t="s">
        <v>114</v>
      </c>
      <c r="I48" s="840">
        <f>SUM(I49:I53)</f>
        <v>0</v>
      </c>
    </row>
    <row r="49" spans="1:9" ht="19.5">
      <c r="A49" s="89"/>
      <c r="B49" s="88"/>
      <c r="C49" s="798"/>
      <c r="D49" s="981"/>
      <c r="E49" s="92"/>
      <c r="F49" s="631"/>
      <c r="G49" s="632"/>
      <c r="H49" s="792">
        <f>TCOS!J77</f>
        <v>0.31803881495927533</v>
      </c>
      <c r="I49" s="840">
        <f>F49*H49</f>
        <v>0</v>
      </c>
    </row>
    <row r="50" spans="1:9" ht="19.5">
      <c r="A50" s="89"/>
      <c r="B50" s="88"/>
      <c r="C50" s="798"/>
      <c r="D50" s="981"/>
      <c r="E50" s="92"/>
      <c r="F50" s="631"/>
      <c r="G50" s="632"/>
      <c r="H50" s="792"/>
      <c r="I50" s="840">
        <f>F50*H50</f>
        <v>0</v>
      </c>
    </row>
    <row r="51" spans="1:9" ht="19.5">
      <c r="A51" s="89"/>
      <c r="B51" s="88"/>
      <c r="C51" s="798"/>
      <c r="D51" s="631"/>
      <c r="E51" s="92"/>
      <c r="F51" s="631"/>
      <c r="G51" s="632"/>
      <c r="H51" s="632"/>
      <c r="I51" s="840">
        <f>F51*H51</f>
        <v>0</v>
      </c>
    </row>
    <row r="52" spans="1:9" ht="19.5">
      <c r="A52" s="89"/>
      <c r="B52" s="88"/>
      <c r="C52" s="798"/>
      <c r="D52" s="631"/>
      <c r="E52" s="92"/>
      <c r="F52" s="631"/>
      <c r="G52" s="632"/>
      <c r="H52" s="632"/>
      <c r="I52" s="840">
        <f>F52*H52</f>
        <v>0</v>
      </c>
    </row>
    <row r="53" spans="1:9" ht="19.5">
      <c r="A53" s="89"/>
      <c r="B53" s="88"/>
      <c r="C53" s="798"/>
      <c r="D53" s="631"/>
      <c r="E53" s="92"/>
      <c r="F53" s="631"/>
      <c r="G53" s="632"/>
      <c r="H53" s="632"/>
      <c r="I53" s="840">
        <f>F53*H53</f>
        <v>0</v>
      </c>
    </row>
    <row r="54" spans="1:9" ht="19.5">
      <c r="A54" s="89"/>
      <c r="B54" s="88"/>
      <c r="C54" s="798"/>
      <c r="D54" s="178"/>
      <c r="E54" s="92">
        <f>SUM(F55:F57)</f>
        <v>0</v>
      </c>
      <c r="F54" s="236"/>
      <c r="G54" s="237"/>
      <c r="I54" s="841">
        <f>SUM(I55:I57)</f>
        <v>0</v>
      </c>
    </row>
    <row r="55" spans="1:9" ht="19.5">
      <c r="A55" s="89">
        <f>A48+1</f>
        <v>7</v>
      </c>
      <c r="B55" s="88"/>
      <c r="C55" s="798" t="s">
        <v>463</v>
      </c>
      <c r="D55" s="631"/>
      <c r="E55" s="92"/>
      <c r="F55" s="631"/>
      <c r="G55" s="632"/>
      <c r="H55" s="632"/>
      <c r="I55" s="840">
        <f>F55*H55</f>
        <v>0</v>
      </c>
    </row>
    <row r="56" spans="1:9" ht="19.5">
      <c r="A56" s="89"/>
      <c r="B56" s="88"/>
      <c r="C56" s="88"/>
      <c r="D56" s="631"/>
      <c r="E56" s="92"/>
      <c r="F56" s="631"/>
      <c r="G56" s="632"/>
      <c r="H56" s="632"/>
      <c r="I56" s="840">
        <f>F56*H56</f>
        <v>0</v>
      </c>
    </row>
    <row r="57" spans="1:9" ht="19.5">
      <c r="A57" s="89"/>
      <c r="B57" s="88"/>
      <c r="C57" s="88"/>
      <c r="D57" s="631"/>
      <c r="E57" s="92"/>
      <c r="F57" s="631"/>
      <c r="G57" s="632"/>
      <c r="H57" s="632"/>
      <c r="I57" s="840">
        <f>F57*H57</f>
        <v>0</v>
      </c>
    </row>
    <row r="58" spans="1:9" ht="19.5">
      <c r="A58" s="805"/>
      <c r="B58" s="806"/>
      <c r="C58" s="806"/>
      <c r="D58" s="807"/>
      <c r="E58" s="808"/>
      <c r="F58" s="807"/>
      <c r="G58" s="809"/>
      <c r="H58" s="809"/>
      <c r="I58" s="810"/>
    </row>
    <row r="59" spans="1:9" ht="19.5">
      <c r="A59" s="89"/>
      <c r="B59" s="88"/>
      <c r="C59" s="88"/>
      <c r="D59" s="178"/>
      <c r="E59" s="92"/>
      <c r="F59" s="236"/>
      <c r="G59" s="237"/>
    </row>
    <row r="60" spans="1:9" ht="18">
      <c r="A60" s="89"/>
      <c r="B60" s="88"/>
      <c r="C60" s="25" t="s">
        <v>162</v>
      </c>
      <c r="E60" s="25" t="s">
        <v>163</v>
      </c>
      <c r="F60" s="25" t="s">
        <v>164</v>
      </c>
      <c r="G60" s="25" t="s">
        <v>165</v>
      </c>
    </row>
    <row r="61" spans="1:9" ht="18">
      <c r="A61" s="161"/>
      <c r="B61" s="162"/>
      <c r="C61" s="162"/>
      <c r="D61" s="162"/>
      <c r="E61"/>
      <c r="F61"/>
      <c r="G61" s="28"/>
    </row>
    <row r="62" spans="1:9" ht="18">
      <c r="A62" s="161" t="s">
        <v>169</v>
      </c>
      <c r="B62" s="162"/>
      <c r="C62" s="162"/>
      <c r="D62" s="162"/>
      <c r="E62" s="163" t="s">
        <v>118</v>
      </c>
      <c r="F62" s="161" t="s">
        <v>76</v>
      </c>
    </row>
    <row r="63" spans="1:9" ht="18">
      <c r="A63" s="165" t="s">
        <v>117</v>
      </c>
      <c r="B63" s="204"/>
      <c r="C63" s="165" t="s">
        <v>30</v>
      </c>
      <c r="D63" s="802"/>
      <c r="E63" s="166" t="s">
        <v>183</v>
      </c>
      <c r="F63" s="165" t="s">
        <v>77</v>
      </c>
      <c r="G63" s="166" t="s">
        <v>78</v>
      </c>
    </row>
    <row r="64" spans="1:9" ht="19.5">
      <c r="A64" s="89">
        <f>+A55+1</f>
        <v>8</v>
      </c>
      <c r="B64" s="88"/>
      <c r="C64" s="91" t="s">
        <v>325</v>
      </c>
      <c r="D64" s="88"/>
      <c r="E64" s="85"/>
      <c r="F64" s="88" t="s">
        <v>114</v>
      </c>
      <c r="G64" s="205"/>
    </row>
    <row r="65" spans="1:9" ht="19.5">
      <c r="A65" s="89">
        <f>+A64+1</f>
        <v>9</v>
      </c>
      <c r="B65" s="88"/>
      <c r="C65" s="88" t="s">
        <v>321</v>
      </c>
      <c r="D65" s="88"/>
      <c r="E65" s="92">
        <f>SUM(F66)</f>
        <v>6586731</v>
      </c>
      <c r="F65" s="207"/>
      <c r="G65" s="205"/>
      <c r="I65" s="1165"/>
    </row>
    <row r="66" spans="1:9" ht="19.5">
      <c r="A66" s="89"/>
      <c r="B66" s="88"/>
      <c r="C66" s="88"/>
      <c r="D66" s="88"/>
      <c r="E66" s="92"/>
      <c r="F66" s="631">
        <v>6586731</v>
      </c>
      <c r="G66" s="632" t="s">
        <v>1396</v>
      </c>
      <c r="I66" s="1165"/>
    </row>
    <row r="67" spans="1:9" ht="19.5">
      <c r="A67" s="89">
        <f>+A65+1</f>
        <v>10</v>
      </c>
      <c r="B67" s="88"/>
      <c r="C67" s="88" t="s">
        <v>314</v>
      </c>
      <c r="D67" s="88"/>
      <c r="E67" s="92">
        <f>SUM(F68)</f>
        <v>0</v>
      </c>
      <c r="F67" s="85"/>
      <c r="G67" s="241"/>
    </row>
    <row r="68" spans="1:9" ht="19.5">
      <c r="A68" s="89"/>
      <c r="B68" s="88"/>
      <c r="C68" s="88"/>
      <c r="D68" s="88"/>
      <c r="E68" s="92"/>
      <c r="F68" s="631"/>
      <c r="G68" s="632"/>
    </row>
    <row r="69" spans="1:9" ht="19.5">
      <c r="A69" s="89">
        <f>+A67+1</f>
        <v>11</v>
      </c>
      <c r="B69" s="88"/>
      <c r="C69" s="88" t="s">
        <v>315</v>
      </c>
      <c r="D69" s="88"/>
      <c r="E69" s="92">
        <f>SUM(F70:F74)</f>
        <v>86617</v>
      </c>
      <c r="F69" s="85"/>
      <c r="G69" s="205"/>
    </row>
    <row r="70" spans="1:9" ht="19.5">
      <c r="A70" s="89"/>
      <c r="B70" s="88"/>
      <c r="C70" s="88"/>
      <c r="D70" s="88"/>
      <c r="E70" s="92"/>
      <c r="F70" s="631">
        <v>60537</v>
      </c>
      <c r="G70" s="632" t="s">
        <v>1397</v>
      </c>
    </row>
    <row r="71" spans="1:9" ht="19.5">
      <c r="A71" s="89"/>
      <c r="B71" s="88"/>
      <c r="C71" s="88"/>
      <c r="D71" s="88"/>
      <c r="E71" s="92"/>
      <c r="F71" s="631">
        <v>26080</v>
      </c>
      <c r="G71" s="632" t="s">
        <v>1310</v>
      </c>
    </row>
    <row r="72" spans="1:9" ht="19.5">
      <c r="A72" s="89"/>
      <c r="B72" s="88"/>
      <c r="C72" s="88"/>
      <c r="D72" s="88"/>
      <c r="E72" s="92"/>
      <c r="F72" s="631"/>
      <c r="G72" s="632"/>
    </row>
    <row r="73" spans="1:9" ht="19.5">
      <c r="A73" s="87"/>
      <c r="D73" s="88"/>
      <c r="E73" s="85"/>
      <c r="F73" s="631"/>
      <c r="G73" s="632"/>
    </row>
    <row r="74" spans="1:9" ht="19.5">
      <c r="A74" s="87"/>
      <c r="D74" s="88"/>
      <c r="E74" s="85"/>
      <c r="F74" s="631"/>
      <c r="G74" s="632"/>
    </row>
    <row r="75" spans="1:9" ht="19.5">
      <c r="A75" s="89">
        <f>A69+1</f>
        <v>12</v>
      </c>
      <c r="B75" s="88"/>
      <c r="C75" s="91" t="s">
        <v>440</v>
      </c>
      <c r="D75" s="88"/>
      <c r="E75" s="92">
        <f>SUM(F76:F76)</f>
        <v>0</v>
      </c>
      <c r="F75" s="236"/>
      <c r="G75" s="237"/>
    </row>
    <row r="76" spans="1:9" ht="19.5">
      <c r="A76" s="89">
        <f>+A75+1</f>
        <v>13</v>
      </c>
      <c r="B76" s="88"/>
      <c r="C76" s="85" t="s">
        <v>441</v>
      </c>
      <c r="D76" s="178"/>
      <c r="E76" s="92"/>
      <c r="F76" s="631"/>
      <c r="G76" s="632"/>
    </row>
    <row r="77" spans="1:9" ht="19.5">
      <c r="A77" s="89"/>
      <c r="B77" s="88"/>
      <c r="C77" s="85"/>
      <c r="D77" s="88"/>
      <c r="E77" s="211"/>
      <c r="F77" s="236"/>
      <c r="G77" s="85"/>
    </row>
    <row r="78" spans="1:9" ht="19.5">
      <c r="A78" s="95">
        <f>+A76+1</f>
        <v>14</v>
      </c>
      <c r="B78" s="88"/>
      <c r="C78" s="91" t="s">
        <v>322</v>
      </c>
      <c r="D78" s="97"/>
      <c r="E78" s="85"/>
      <c r="F78" s="85"/>
      <c r="G78" s="85"/>
    </row>
    <row r="79" spans="1:9" ht="19.5">
      <c r="A79" s="95">
        <f>A78+1</f>
        <v>15</v>
      </c>
      <c r="B79" s="96"/>
      <c r="C79" s="85" t="s">
        <v>439</v>
      </c>
      <c r="D79" s="97"/>
      <c r="E79" s="92">
        <f>SUM(F80:F81)</f>
        <v>0</v>
      </c>
      <c r="F79" s="85"/>
      <c r="G79" s="85"/>
    </row>
    <row r="80" spans="1:9" ht="19.5">
      <c r="A80" s="95"/>
      <c r="B80" s="96"/>
      <c r="C80" s="85"/>
      <c r="E80" s="211"/>
      <c r="F80" s="631"/>
      <c r="G80" s="632"/>
    </row>
    <row r="81" spans="1:7" ht="19.5">
      <c r="A81" s="95"/>
      <c r="B81" s="96"/>
      <c r="C81" s="85"/>
      <c r="E81" s="211"/>
      <c r="F81" s="631"/>
      <c r="G81" s="632"/>
    </row>
    <row r="82" spans="1:7" ht="19.5">
      <c r="A82" s="95"/>
      <c r="B82" s="96"/>
      <c r="C82" s="85"/>
      <c r="E82" s="211"/>
      <c r="F82" s="631"/>
      <c r="G82" s="632"/>
    </row>
    <row r="83" spans="1:7" ht="19.5">
      <c r="A83" s="89">
        <f>A79+1</f>
        <v>16</v>
      </c>
      <c r="B83" s="96"/>
      <c r="C83" s="85" t="s">
        <v>316</v>
      </c>
      <c r="D83" s="88"/>
      <c r="E83" s="92">
        <f>SUM(F84:F85)</f>
        <v>0</v>
      </c>
      <c r="F83" s="85"/>
      <c r="G83" s="85"/>
    </row>
    <row r="84" spans="1:7" ht="19.5">
      <c r="A84" s="89"/>
      <c r="B84" s="96"/>
      <c r="C84" s="85"/>
      <c r="D84" s="88"/>
      <c r="E84" s="92"/>
      <c r="F84" s="631"/>
      <c r="G84" s="632"/>
    </row>
    <row r="85" spans="1:7" ht="19.5">
      <c r="A85" s="89"/>
      <c r="B85" s="96"/>
      <c r="C85" s="85"/>
      <c r="D85" s="88"/>
      <c r="E85" s="92"/>
      <c r="F85" s="631"/>
      <c r="G85" s="632"/>
    </row>
    <row r="86" spans="1:7" ht="19.5">
      <c r="A86" s="89"/>
      <c r="B86" s="96"/>
      <c r="C86" s="85"/>
      <c r="D86" s="88"/>
      <c r="E86" s="92"/>
      <c r="F86" s="631"/>
      <c r="G86" s="632"/>
    </row>
    <row r="87" spans="1:7" ht="19.5">
      <c r="A87" s="89">
        <f>+A83+1</f>
        <v>17</v>
      </c>
      <c r="B87" s="88"/>
      <c r="C87" s="85" t="s">
        <v>317</v>
      </c>
      <c r="D87"/>
      <c r="E87" s="92">
        <f>SUM(F88:F95)</f>
        <v>-100</v>
      </c>
    </row>
    <row r="88" spans="1:7" ht="19.5">
      <c r="A88" s="89"/>
      <c r="B88" s="88"/>
      <c r="C88" s="85"/>
      <c r="D88"/>
      <c r="E88" s="92"/>
      <c r="F88" s="631">
        <v>-100</v>
      </c>
      <c r="G88" s="632" t="s">
        <v>1313</v>
      </c>
    </row>
    <row r="89" spans="1:7" ht="19.5">
      <c r="A89" s="89"/>
      <c r="B89" s="88"/>
      <c r="C89" s="85"/>
      <c r="D89"/>
      <c r="E89" s="92"/>
      <c r="F89" s="631"/>
      <c r="G89" s="632"/>
    </row>
    <row r="90" spans="1:7" ht="19.5">
      <c r="A90" s="89"/>
      <c r="B90" s="88"/>
      <c r="C90" s="85"/>
      <c r="D90"/>
      <c r="E90" s="92"/>
      <c r="F90" s="631"/>
      <c r="G90" s="632"/>
    </row>
    <row r="91" spans="1:7" ht="19.5">
      <c r="A91" s="89"/>
      <c r="B91" s="88"/>
      <c r="C91" s="85"/>
      <c r="D91"/>
      <c r="E91" s="92"/>
      <c r="F91" s="631"/>
      <c r="G91" s="632"/>
    </row>
    <row r="92" spans="1:7" ht="19.5">
      <c r="A92" s="89"/>
      <c r="B92" s="88"/>
      <c r="C92" s="85"/>
      <c r="D92"/>
      <c r="E92" s="92"/>
      <c r="F92" s="631"/>
      <c r="G92" s="632"/>
    </row>
    <row r="93" spans="1:7" ht="19.5">
      <c r="A93" s="89"/>
      <c r="B93" s="88"/>
      <c r="C93" s="85"/>
      <c r="D93"/>
      <c r="E93" s="92"/>
      <c r="F93" s="631"/>
      <c r="G93" s="632"/>
    </row>
    <row r="94" spans="1:7" ht="19.5">
      <c r="A94" s="89"/>
      <c r="B94" s="88"/>
      <c r="C94" s="85"/>
      <c r="D94"/>
      <c r="E94" s="92"/>
      <c r="F94" s="631"/>
      <c r="G94" s="632"/>
    </row>
    <row r="95" spans="1:7" ht="19.5">
      <c r="A95" s="89"/>
      <c r="B95" s="88"/>
      <c r="C95" s="85"/>
      <c r="D95"/>
      <c r="E95" s="92"/>
      <c r="F95" s="631"/>
      <c r="G95" s="632"/>
    </row>
    <row r="96" spans="1:7" ht="19.5">
      <c r="A96" s="89"/>
      <c r="B96" s="88"/>
      <c r="C96" s="85"/>
      <c r="D96"/>
      <c r="E96" s="92"/>
      <c r="F96" s="85"/>
      <c r="G96" s="85"/>
    </row>
    <row r="97" spans="1:7" ht="19.5">
      <c r="A97" s="89">
        <f>+A87+1</f>
        <v>18</v>
      </c>
      <c r="B97" s="88"/>
      <c r="C97" s="85" t="s">
        <v>318</v>
      </c>
      <c r="D97"/>
      <c r="E97" s="92">
        <f>SUM(F98:F103)</f>
        <v>0</v>
      </c>
      <c r="F97" s="85"/>
      <c r="G97" s="85"/>
    </row>
    <row r="98" spans="1:7" ht="19.5">
      <c r="A98" s="89"/>
      <c r="B98" s="88"/>
      <c r="C98" s="85"/>
      <c r="D98"/>
      <c r="E98" s="92"/>
      <c r="F98" s="631"/>
      <c r="G98" s="632"/>
    </row>
    <row r="99" spans="1:7" ht="19.5">
      <c r="A99" s="89"/>
      <c r="B99" s="88"/>
      <c r="C99" s="85"/>
      <c r="D99"/>
      <c r="E99" s="92"/>
      <c r="F99" s="631"/>
      <c r="G99" s="632"/>
    </row>
    <row r="100" spans="1:7" ht="19.5">
      <c r="A100" s="89"/>
      <c r="B100" s="88"/>
      <c r="C100" s="85"/>
      <c r="D100"/>
      <c r="E100" s="92"/>
      <c r="F100" s="631"/>
      <c r="G100" s="632"/>
    </row>
    <row r="101" spans="1:7" ht="19.5">
      <c r="A101" s="89"/>
      <c r="B101" s="88"/>
      <c r="C101" s="85"/>
      <c r="D101"/>
      <c r="E101" s="92"/>
      <c r="F101" s="631"/>
      <c r="G101" s="632"/>
    </row>
    <row r="102" spans="1:7" ht="19.5">
      <c r="A102" s="89"/>
      <c r="B102" s="88"/>
      <c r="C102" s="85"/>
      <c r="D102"/>
      <c r="E102" s="92"/>
      <c r="F102" s="631"/>
      <c r="G102" s="632"/>
    </row>
    <row r="103" spans="1:7" ht="19.5">
      <c r="A103" s="89"/>
      <c r="B103" s="88"/>
      <c r="C103" s="85"/>
      <c r="D103"/>
      <c r="E103" s="92"/>
      <c r="F103" s="631"/>
      <c r="G103" s="632"/>
    </row>
    <row r="104" spans="1:7" ht="19.5">
      <c r="A104" s="89">
        <f>+A97+1</f>
        <v>19</v>
      </c>
      <c r="B104" s="88"/>
      <c r="C104" s="85" t="s">
        <v>319</v>
      </c>
      <c r="D104" s="88"/>
      <c r="E104" s="92">
        <f>SUM(F105:F106)</f>
        <v>0</v>
      </c>
      <c r="F104" s="85"/>
      <c r="G104" s="237"/>
    </row>
    <row r="105" spans="1:7" ht="19.5">
      <c r="A105" s="89"/>
      <c r="B105" s="88"/>
      <c r="C105" s="85"/>
      <c r="D105" s="88"/>
      <c r="E105" s="92"/>
      <c r="F105" s="631"/>
      <c r="G105" s="632"/>
    </row>
    <row r="106" spans="1:7" ht="19.5">
      <c r="A106" s="89"/>
      <c r="B106" s="88"/>
      <c r="C106" s="85"/>
      <c r="D106" s="88"/>
      <c r="E106" s="211"/>
      <c r="F106" s="631"/>
      <c r="G106" s="632"/>
    </row>
    <row r="107" spans="1:7" ht="19.5">
      <c r="A107" s="89">
        <f>+A104+1</f>
        <v>20</v>
      </c>
      <c r="B107" s="88"/>
      <c r="C107" s="85" t="s">
        <v>320</v>
      </c>
      <c r="E107" s="92">
        <f>SUM(F108:F110)</f>
        <v>-1472</v>
      </c>
      <c r="G107" s="85"/>
    </row>
    <row r="108" spans="1:7" ht="19.5">
      <c r="A108" s="89"/>
      <c r="B108" s="88"/>
      <c r="C108" s="85"/>
      <c r="D108" s="88"/>
      <c r="E108" s="92"/>
      <c r="F108" s="631">
        <v>-1472</v>
      </c>
      <c r="G108" s="632" t="s">
        <v>1311</v>
      </c>
    </row>
    <row r="109" spans="1:7" ht="19.5">
      <c r="A109" s="89"/>
      <c r="B109" s="88"/>
      <c r="C109" s="85"/>
      <c r="D109" s="88"/>
      <c r="E109" s="92"/>
      <c r="F109" s="631"/>
      <c r="G109" s="632"/>
    </row>
    <row r="110" spans="1:7" ht="19.5">
      <c r="A110" s="89"/>
      <c r="B110" s="88"/>
      <c r="C110" s="85"/>
      <c r="D110" s="88"/>
      <c r="E110" s="92"/>
      <c r="F110" s="85"/>
      <c r="G110" s="85"/>
    </row>
    <row r="111" spans="1:7" ht="19.5">
      <c r="A111" s="89">
        <f>+A107+1</f>
        <v>21</v>
      </c>
      <c r="B111" s="88"/>
      <c r="C111" s="85" t="s">
        <v>1184</v>
      </c>
      <c r="D111" s="85"/>
      <c r="E111" s="92">
        <f>SUM(F112:F113)</f>
        <v>155110788</v>
      </c>
      <c r="F111" s="85"/>
      <c r="G111" s="85"/>
    </row>
    <row r="112" spans="1:7" ht="19.5">
      <c r="A112" s="89"/>
      <c r="B112" s="88"/>
      <c r="C112" s="85"/>
      <c r="D112" s="85"/>
      <c r="E112" s="92"/>
      <c r="F112" s="631">
        <v>155110788</v>
      </c>
      <c r="G112" s="632" t="s">
        <v>1312</v>
      </c>
    </row>
    <row r="113" spans="1:9" ht="19.5">
      <c r="A113" s="89"/>
      <c r="B113" s="88"/>
      <c r="C113" s="85"/>
      <c r="D113" s="85"/>
      <c r="E113" s="92"/>
      <c r="F113" s="631"/>
      <c r="G113" s="632"/>
    </row>
    <row r="114" spans="1:9" ht="19.5">
      <c r="A114" s="89">
        <f>+A111+1</f>
        <v>22</v>
      </c>
      <c r="B114" s="85"/>
      <c r="C114" s="103" t="s">
        <v>1075</v>
      </c>
      <c r="D114" s="85"/>
      <c r="E114" s="92">
        <f>SUM(F115:F115)</f>
        <v>0</v>
      </c>
      <c r="F114" s="206"/>
      <c r="G114" s="85"/>
    </row>
    <row r="115" spans="1:9" ht="19.5">
      <c r="A115" s="89"/>
      <c r="B115" s="85"/>
      <c r="C115" s="103"/>
      <c r="D115" s="85"/>
      <c r="E115" s="92"/>
      <c r="F115" s="631"/>
      <c r="G115" s="632"/>
    </row>
    <row r="116" spans="1:9" ht="19.5">
      <c r="A116" s="4"/>
      <c r="B116" s="85"/>
      <c r="C116" s="197"/>
      <c r="D116"/>
      <c r="E116"/>
      <c r="F116" s="196"/>
      <c r="G116" s="1"/>
    </row>
    <row r="117" spans="1:9" ht="20.25" thickBot="1">
      <c r="A117" s="190">
        <f>+A114+1</f>
        <v>23</v>
      </c>
      <c r="B117" s="197"/>
      <c r="C117" s="85" t="s">
        <v>311</v>
      </c>
      <c r="D117"/>
      <c r="E117" s="102">
        <f>E15+E25+E65+E67+E69+E83+E87+E97+E104+E107+E114+E111</f>
        <v>575068668.61000001</v>
      </c>
      <c r="F117" s="102">
        <f>SUM(F15:F115)</f>
        <v>575068668.61000001</v>
      </c>
      <c r="G117" s="85"/>
    </row>
    <row r="118" spans="1:9" ht="20.25" thickTop="1">
      <c r="A118" s="4"/>
      <c r="B118" s="197"/>
      <c r="C118" s="85" t="s">
        <v>381</v>
      </c>
      <c r="D118"/>
      <c r="E118"/>
      <c r="F118" s="206"/>
      <c r="G118" s="85"/>
      <c r="H118" s="841"/>
      <c r="I118" s="841"/>
    </row>
    <row r="119" spans="1:9" ht="21">
      <c r="A119" s="4"/>
      <c r="B119" s="197"/>
      <c r="C119" s="85"/>
      <c r="D119"/>
      <c r="E119" s="221"/>
      <c r="F119" s="125" t="s">
        <v>114</v>
      </c>
      <c r="G119" s="85"/>
      <c r="I119" s="841"/>
    </row>
    <row r="120" spans="1:9" ht="20.25" customHeight="1">
      <c r="A120" s="1269" t="s">
        <v>756</v>
      </c>
      <c r="B120" s="1269"/>
      <c r="C120" s="1269"/>
      <c r="D120" s="1269"/>
      <c r="E120" s="1269"/>
      <c r="F120" s="1269"/>
      <c r="G120" s="1269"/>
    </row>
    <row r="121" spans="1:9" ht="20.25" customHeight="1">
      <c r="A121" s="1269"/>
      <c r="B121" s="1269"/>
      <c r="C121" s="1269"/>
      <c r="D121" s="1269"/>
      <c r="E121" s="1269"/>
      <c r="F121" s="1269"/>
      <c r="G121" s="1269"/>
    </row>
    <row r="122" spans="1:9" ht="20.25" customHeight="1">
      <c r="A122" s="1269"/>
      <c r="B122" s="1269"/>
      <c r="C122" s="1269"/>
      <c r="D122" s="1269"/>
      <c r="E122" s="1269"/>
      <c r="F122" s="1269"/>
      <c r="G122" s="1269"/>
    </row>
    <row r="123" spans="1:9" ht="20.25" customHeight="1">
      <c r="A123" s="1269"/>
      <c r="B123" s="1269"/>
      <c r="C123" s="1269"/>
      <c r="D123" s="1269"/>
      <c r="E123" s="1269"/>
      <c r="F123" s="1269"/>
      <c r="G123" s="1269"/>
    </row>
    <row r="124" spans="1:9" ht="20.25" customHeight="1">
      <c r="A124" s="1269"/>
      <c r="B124" s="1269"/>
      <c r="C124" s="1269"/>
      <c r="D124" s="1269"/>
      <c r="E124" s="1269"/>
      <c r="F124" s="1269"/>
      <c r="G124" s="1269"/>
    </row>
    <row r="125" spans="1:9" ht="20.25" customHeight="1">
      <c r="A125" s="837"/>
      <c r="B125" s="837"/>
      <c r="C125" s="837"/>
      <c r="D125" s="837"/>
      <c r="E125" s="837"/>
      <c r="F125" s="837"/>
      <c r="G125" s="837"/>
    </row>
    <row r="126" spans="1:9" ht="30.75" customHeight="1">
      <c r="A126" s="1268" t="s">
        <v>854</v>
      </c>
      <c r="B126" s="1268"/>
      <c r="C126" s="1268"/>
      <c r="D126" s="1268"/>
      <c r="E126" s="1268"/>
      <c r="F126" s="1268"/>
      <c r="G126" s="1268"/>
    </row>
    <row r="127" spans="1:9" ht="30.75" customHeight="1">
      <c r="A127" s="1268"/>
      <c r="B127" s="1268"/>
      <c r="C127" s="1268"/>
      <c r="D127" s="1268"/>
      <c r="E127" s="1268"/>
      <c r="F127" s="1268"/>
      <c r="G127" s="1268"/>
    </row>
    <row r="128" spans="1:9" ht="19.5">
      <c r="F128" s="85"/>
      <c r="G128" s="85"/>
    </row>
  </sheetData>
  <mergeCells count="7">
    <mergeCell ref="A126:G127"/>
    <mergeCell ref="A120:G124"/>
    <mergeCell ref="A7:F7"/>
    <mergeCell ref="A3:F3"/>
    <mergeCell ref="A4:F4"/>
    <mergeCell ref="A5:F5"/>
    <mergeCell ref="A6:F6"/>
  </mergeCells>
  <phoneticPr fontId="74" type="noConversion"/>
  <pageMargins left="0.82" right="1.28" top="0.68" bottom="0.37" header="0.5" footer="0.5"/>
  <pageSetup scale="28" orientation="portrait" r:id="rId1"/>
  <headerFooter alignWithMargins="0">
    <oddHeader>&amp;R&amp;"Arial,Bold"Formula Rate 
&amp;A
Page &amp;P of &amp;N</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AC61"/>
  <sheetViews>
    <sheetView tabSelected="1" view="pageBreakPreview" zoomScale="60" zoomScaleNormal="100" workbookViewId="0">
      <selection activeCell="D11" sqref="D11"/>
    </sheetView>
  </sheetViews>
  <sheetFormatPr defaultRowHeight="12.75"/>
  <cols>
    <col min="1" max="1" width="4.5703125" customWidth="1"/>
    <col min="3" max="3" width="13.85546875" customWidth="1"/>
    <col min="4" max="4" width="18.85546875" customWidth="1"/>
    <col min="5" max="5" width="13.140625" customWidth="1"/>
    <col min="6" max="6" width="12.5703125" customWidth="1"/>
    <col min="7" max="8" width="19.42578125" customWidth="1"/>
    <col min="9" max="9" width="18.5703125" customWidth="1"/>
    <col min="10" max="10" width="1.42578125" customWidth="1"/>
    <col min="12" max="12" width="15" bestFit="1" customWidth="1"/>
  </cols>
  <sheetData>
    <row r="1" spans="1:29" ht="15.75">
      <c r="A1" s="657" t="s">
        <v>114</v>
      </c>
    </row>
    <row r="2" spans="1:29" ht="15.75">
      <c r="A2" s="657" t="s">
        <v>114</v>
      </c>
    </row>
    <row r="3" spans="1:29" ht="18">
      <c r="A3" s="1271" t="s">
        <v>387</v>
      </c>
      <c r="B3" s="1271"/>
      <c r="C3" s="1271"/>
      <c r="D3" s="1271"/>
      <c r="E3" s="1271"/>
      <c r="F3" s="1271"/>
      <c r="G3" s="1271"/>
      <c r="H3" s="1271"/>
      <c r="I3" s="1271"/>
      <c r="J3" s="1271"/>
      <c r="K3" s="119"/>
      <c r="L3" s="119"/>
      <c r="M3" s="119"/>
    </row>
    <row r="4" spans="1:29" ht="18">
      <c r="A4" s="1270" t="str">
        <f>"Cost of Service Formula Rate Using "&amp;TCOS!L4&amp;" FF1 Balances"</f>
        <v>Cost of Service Formula Rate Using 2025 FF1 Balances</v>
      </c>
      <c r="B4" s="1270"/>
      <c r="C4" s="1270"/>
      <c r="D4" s="1270"/>
      <c r="E4" s="1270"/>
      <c r="F4" s="1270"/>
      <c r="G4" s="1270"/>
      <c r="H4" s="1270"/>
      <c r="I4" s="1270"/>
      <c r="J4" s="1270"/>
      <c r="K4" s="74"/>
      <c r="L4" s="74"/>
      <c r="M4" s="74"/>
    </row>
    <row r="5" spans="1:29" ht="18">
      <c r="A5" s="1270" t="s">
        <v>546</v>
      </c>
      <c r="B5" s="1270"/>
      <c r="C5" s="1270"/>
      <c r="D5" s="1270"/>
      <c r="E5" s="1270"/>
      <c r="F5" s="1270"/>
      <c r="G5" s="1270"/>
      <c r="H5" s="1270"/>
      <c r="I5" s="1270"/>
      <c r="J5" s="1270"/>
      <c r="K5" s="120"/>
      <c r="L5" s="120"/>
      <c r="M5" s="120"/>
    </row>
    <row r="6" spans="1:29" ht="18">
      <c r="A6" s="1264" t="str">
        <f>+TCOS!F9</f>
        <v>Ohio Power Company</v>
      </c>
      <c r="B6" s="1264"/>
      <c r="C6" s="1264"/>
      <c r="D6" s="1264"/>
      <c r="E6" s="1264"/>
      <c r="F6" s="1264"/>
      <c r="G6" s="1264"/>
      <c r="H6" s="1264"/>
      <c r="I6" s="1264"/>
      <c r="J6" s="1264"/>
      <c r="K6" s="126"/>
      <c r="L6" s="126"/>
      <c r="M6" s="126"/>
    </row>
    <row r="8" spans="1:29" ht="18">
      <c r="A8" s="132"/>
      <c r="B8" s="13"/>
      <c r="D8" s="79"/>
      <c r="E8" s="4"/>
      <c r="F8" s="81"/>
    </row>
    <row r="9" spans="1:29" ht="18">
      <c r="C9" s="4"/>
      <c r="D9" s="79"/>
      <c r="E9" s="4"/>
      <c r="F9" s="81"/>
      <c r="Q9" s="119"/>
      <c r="R9" s="119"/>
      <c r="S9" s="119"/>
      <c r="T9" s="119"/>
      <c r="U9" s="119"/>
      <c r="V9" s="119"/>
      <c r="W9" s="119"/>
      <c r="X9" s="119"/>
      <c r="Y9" s="119"/>
      <c r="Z9" s="119"/>
      <c r="AA9" s="119"/>
      <c r="AB9" s="119"/>
      <c r="AC9" s="119"/>
    </row>
    <row r="10" spans="1:29">
      <c r="C10" s="4"/>
      <c r="D10" s="79"/>
    </row>
    <row r="11" spans="1:29">
      <c r="C11" s="4"/>
      <c r="D11" s="79"/>
    </row>
    <row r="12" spans="1:29">
      <c r="C12" s="4"/>
      <c r="D12" s="79"/>
      <c r="H12" s="80"/>
    </row>
    <row r="13" spans="1:29">
      <c r="C13" s="4"/>
      <c r="D13" s="79"/>
      <c r="H13" s="80"/>
    </row>
    <row r="14" spans="1:29">
      <c r="C14" s="4"/>
      <c r="D14" s="79"/>
      <c r="E14" s="4"/>
      <c r="H14" s="80"/>
    </row>
    <row r="15" spans="1:29">
      <c r="C15" s="4"/>
      <c r="D15" s="79"/>
      <c r="E15" s="4"/>
      <c r="H15" s="81"/>
    </row>
    <row r="16" spans="1:29">
      <c r="C16" s="4"/>
      <c r="D16" s="79"/>
      <c r="E16" s="4"/>
      <c r="H16" s="127"/>
    </row>
    <row r="18" spans="1:12" ht="18">
      <c r="A18" s="132"/>
      <c r="B18" s="13"/>
    </row>
    <row r="20" spans="1:12">
      <c r="A20" s="12"/>
      <c r="B20" s="12"/>
      <c r="C20" s="128"/>
      <c r="E20" s="128"/>
      <c r="F20" s="128"/>
      <c r="G20" s="128"/>
      <c r="H20" s="128"/>
      <c r="I20" s="128"/>
      <c r="J20" s="129"/>
    </row>
    <row r="22" spans="1:12">
      <c r="E22" s="130"/>
      <c r="F22" s="131"/>
      <c r="G22" s="131"/>
      <c r="I22" s="131"/>
      <c r="L22" s="238"/>
    </row>
    <row r="23" spans="1:12">
      <c r="E23" s="83"/>
      <c r="F23" s="131"/>
      <c r="G23" s="131"/>
      <c r="I23" s="131"/>
      <c r="L23" s="238"/>
    </row>
    <row r="24" spans="1:12">
      <c r="E24" s="83"/>
      <c r="F24" s="131"/>
      <c r="G24" s="131"/>
      <c r="I24" s="131"/>
      <c r="L24" s="238"/>
    </row>
    <row r="25" spans="1:12">
      <c r="E25" s="83"/>
      <c r="F25" s="131"/>
      <c r="G25" s="131"/>
      <c r="I25" s="131"/>
      <c r="L25" s="238"/>
    </row>
    <row r="26" spans="1:12">
      <c r="E26" s="83"/>
      <c r="F26" s="131"/>
      <c r="G26" s="131"/>
      <c r="I26" s="131"/>
      <c r="L26" s="238"/>
    </row>
    <row r="27" spans="1:12">
      <c r="E27" s="83"/>
      <c r="F27" s="131"/>
      <c r="G27" s="131"/>
      <c r="I27" s="131"/>
      <c r="L27" s="238"/>
    </row>
    <row r="28" spans="1:12">
      <c r="E28" s="83"/>
      <c r="F28" s="131"/>
      <c r="G28" s="131"/>
      <c r="I28" s="131"/>
      <c r="L28" s="238"/>
    </row>
    <row r="29" spans="1:12">
      <c r="E29" s="83"/>
      <c r="F29" s="131"/>
      <c r="G29" s="131"/>
      <c r="I29" s="131"/>
      <c r="L29" s="238"/>
    </row>
    <row r="30" spans="1:12">
      <c r="E30" s="83"/>
      <c r="F30" s="131"/>
      <c r="G30" s="131"/>
      <c r="I30" s="131"/>
      <c r="L30" s="238"/>
    </row>
    <row r="31" spans="1:12">
      <c r="E31" s="83"/>
      <c r="F31" s="131"/>
      <c r="G31" s="131"/>
      <c r="I31" s="131"/>
      <c r="L31" s="238"/>
    </row>
    <row r="32" spans="1:12">
      <c r="E32" s="83"/>
      <c r="F32" s="131"/>
      <c r="G32" s="131"/>
      <c r="I32" s="131"/>
      <c r="L32" s="238"/>
    </row>
    <row r="33" spans="1:12">
      <c r="E33" s="83"/>
      <c r="F33" s="131"/>
      <c r="G33" s="131"/>
      <c r="I33" s="131"/>
      <c r="L33" s="238"/>
    </row>
    <row r="35" spans="1:12">
      <c r="H35" s="76"/>
      <c r="I35" s="240"/>
    </row>
    <row r="37" spans="1:12" ht="18">
      <c r="A37" s="132"/>
      <c r="B37" s="13"/>
    </row>
    <row r="44" spans="1:12" ht="18">
      <c r="A44" s="132"/>
      <c r="B44" s="140"/>
      <c r="C44" s="133"/>
      <c r="E44" s="133"/>
      <c r="F44" s="133"/>
      <c r="G44" s="133"/>
      <c r="H44" s="133"/>
      <c r="I44" s="79"/>
    </row>
    <row r="45" spans="1:12">
      <c r="B45" s="134"/>
      <c r="C45" s="133"/>
      <c r="E45" s="133"/>
      <c r="F45" s="133"/>
      <c r="G45" s="133"/>
      <c r="H45" s="133"/>
      <c r="I45" s="79"/>
    </row>
    <row r="46" spans="1:12">
      <c r="B46" s="139"/>
      <c r="C46" s="133"/>
      <c r="E46" s="133"/>
      <c r="F46" s="133"/>
      <c r="G46" s="141"/>
      <c r="H46" s="141"/>
    </row>
    <row r="47" spans="1:12">
      <c r="B47" s="139"/>
      <c r="C47" s="135"/>
      <c r="E47" s="135"/>
      <c r="F47" s="135"/>
      <c r="G47" s="135"/>
    </row>
    <row r="48" spans="1:12">
      <c r="B48" s="137"/>
      <c r="F48" s="76"/>
      <c r="G48" s="169"/>
      <c r="H48" s="1"/>
      <c r="I48" s="138"/>
      <c r="J48" s="142"/>
    </row>
    <row r="49" spans="2:10">
      <c r="B49" s="137"/>
      <c r="F49" s="76"/>
      <c r="G49" s="136"/>
      <c r="H49" s="1"/>
      <c r="I49" s="138"/>
      <c r="J49" s="142"/>
    </row>
    <row r="50" spans="2:10">
      <c r="B50" s="139"/>
      <c r="G50" s="136"/>
      <c r="H50" s="1"/>
      <c r="I50" s="138"/>
      <c r="J50" s="142"/>
    </row>
    <row r="51" spans="2:10">
      <c r="C51" s="133"/>
      <c r="D51" s="133"/>
      <c r="E51" s="133"/>
      <c r="F51" s="133"/>
      <c r="G51" s="169"/>
      <c r="H51" s="142"/>
      <c r="J51" s="142"/>
    </row>
    <row r="52" spans="2:10">
      <c r="F52" s="76"/>
      <c r="G52" s="169"/>
      <c r="J52" s="143"/>
    </row>
    <row r="55" spans="2:10">
      <c r="D55" s="143"/>
    </row>
    <row r="56" spans="2:10">
      <c r="D56" s="143"/>
      <c r="H56" s="79"/>
    </row>
    <row r="57" spans="2:10">
      <c r="D57" s="143"/>
      <c r="H57" s="133"/>
    </row>
    <row r="58" spans="2:10">
      <c r="D58" s="143"/>
    </row>
    <row r="59" spans="2:10">
      <c r="D59" s="143"/>
      <c r="H59" s="79"/>
    </row>
    <row r="60" spans="2:10">
      <c r="D60" s="143"/>
    </row>
    <row r="61" spans="2:10">
      <c r="D61" s="143"/>
    </row>
  </sheetData>
  <mergeCells count="4">
    <mergeCell ref="A4:J4"/>
    <mergeCell ref="A3:J3"/>
    <mergeCell ref="A6:J6"/>
    <mergeCell ref="A5:J5"/>
  </mergeCells>
  <phoneticPr fontId="0" type="noConversion"/>
  <pageMargins left="0.26" right="0.61" top="1" bottom="1" header="0.75" footer="0.5"/>
  <pageSetup scale="64" orientation="portrait" r:id="rId1"/>
  <headerFooter alignWithMargins="0">
    <oddHeader>&amp;R&amp;"Arial,Bold"Formula Rate 
&amp;A
Page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P2042"/>
  <sheetViews>
    <sheetView view="pageBreakPreview" topLeftCell="A710" zoomScale="85" zoomScaleNormal="100" zoomScaleSheetLayoutView="85" workbookViewId="0">
      <selection activeCell="D723" sqref="D723"/>
    </sheetView>
  </sheetViews>
  <sheetFormatPr defaultColWidth="8.85546875" defaultRowHeight="12.75"/>
  <cols>
    <col min="1" max="1" width="4.5703125" customWidth="1"/>
    <col min="2" max="2" width="6.5703125" customWidth="1"/>
    <col min="3" max="3" width="42" customWidth="1"/>
    <col min="4" max="4" width="17.5703125" style="1" customWidth="1"/>
    <col min="5" max="7" width="17.5703125" customWidth="1"/>
    <col min="8" max="8" width="17.5703125" style="410" customWidth="1"/>
    <col min="9" max="9" width="17.5703125" bestFit="1" customWidth="1"/>
    <col min="10" max="10" width="2.140625" customWidth="1"/>
    <col min="11" max="11" width="20.5703125" customWidth="1"/>
    <col min="12" max="14" width="17.5703125" customWidth="1"/>
    <col min="15" max="15" width="16.5703125" customWidth="1"/>
    <col min="16" max="16" width="2.140625" style="4" customWidth="1"/>
  </cols>
  <sheetData>
    <row r="1" spans="1:16" ht="15.75">
      <c r="A1" s="657" t="s">
        <v>114</v>
      </c>
    </row>
    <row r="2" spans="1:16" ht="15.75">
      <c r="A2" s="657" t="s">
        <v>114</v>
      </c>
    </row>
    <row r="3" spans="1:16" ht="15">
      <c r="A3" s="1234" t="s">
        <v>387</v>
      </c>
      <c r="B3" s="1234"/>
      <c r="C3" s="1234"/>
      <c r="D3" s="1234"/>
      <c r="E3" s="1234"/>
      <c r="F3" s="1234"/>
      <c r="G3" s="1234"/>
      <c r="H3" s="1234"/>
      <c r="I3" s="1234"/>
      <c r="J3" s="1234"/>
      <c r="K3" s="1234"/>
      <c r="L3" s="1234"/>
      <c r="M3" s="1234"/>
      <c r="N3" s="1234"/>
      <c r="O3" s="1234"/>
    </row>
    <row r="4" spans="1:16" ht="15">
      <c r="A4" s="1235" t="str">
        <f>"Cost of Service Formula Rate Using "&amp;TCOS!L4&amp;" FF1 Balances"</f>
        <v>Cost of Service Formula Rate Using 2025 FF1 Balances</v>
      </c>
      <c r="B4" s="1235"/>
      <c r="C4" s="1235"/>
      <c r="D4" s="1235"/>
      <c r="E4" s="1235"/>
      <c r="F4" s="1235"/>
      <c r="G4" s="1235"/>
      <c r="H4" s="1235"/>
      <c r="I4" s="1235"/>
      <c r="J4" s="1235"/>
      <c r="K4" s="1235"/>
      <c r="L4" s="1235"/>
      <c r="M4" s="1235"/>
      <c r="N4" s="1235"/>
      <c r="O4" s="1235"/>
    </row>
    <row r="5" spans="1:16" ht="15">
      <c r="A5" s="1235" t="s">
        <v>468</v>
      </c>
      <c r="B5" s="1235"/>
      <c r="C5" s="1235"/>
      <c r="D5" s="1235"/>
      <c r="E5" s="1235"/>
      <c r="F5" s="1235"/>
      <c r="G5" s="1235"/>
      <c r="H5" s="1235"/>
      <c r="I5" s="1235"/>
      <c r="J5" s="1235"/>
      <c r="K5" s="1235"/>
      <c r="L5" s="1235"/>
      <c r="M5" s="1235"/>
      <c r="N5" s="1235"/>
      <c r="O5" s="1235"/>
    </row>
    <row r="6" spans="1:16" ht="15">
      <c r="A6" s="1243" t="str">
        <f>TCOS!F9</f>
        <v>Ohio Power Company</v>
      </c>
      <c r="B6" s="1243"/>
      <c r="C6" s="1243"/>
      <c r="D6" s="1243"/>
      <c r="E6" s="1243"/>
      <c r="F6" s="1243"/>
      <c r="G6" s="1243"/>
      <c r="H6" s="1243"/>
      <c r="I6" s="1243"/>
      <c r="J6" s="1243"/>
      <c r="K6" s="1243"/>
      <c r="L6" s="1243"/>
      <c r="M6" s="1243"/>
      <c r="N6" s="1243"/>
      <c r="O6" s="1243"/>
    </row>
    <row r="8" spans="1:16" ht="20.25">
      <c r="A8" s="411"/>
      <c r="N8" s="11" t="str">
        <f>"Page "&amp;P8&amp;" of "</f>
        <v xml:space="preserve">Page 1 of </v>
      </c>
      <c r="O8" s="412">
        <f>COUNT(P$8:P$57834)</f>
        <v>22</v>
      </c>
      <c r="P8" s="11">
        <v>1</v>
      </c>
    </row>
    <row r="9" spans="1:16" ht="18">
      <c r="C9" s="13"/>
    </row>
    <row r="11" spans="1:16" ht="18">
      <c r="B11" s="413" t="s">
        <v>171</v>
      </c>
      <c r="C11" s="1272" t="str">
        <f>"Calculate Return and Income Taxes with "&amp;F17&amp;" basis point ROE increase for Projects Qualified for Regional Billing."</f>
        <v>Calculate Return and Income Taxes with  basis point ROE increase for Projects Qualified for Regional Billing.</v>
      </c>
      <c r="D11" s="1273"/>
      <c r="E11" s="1273"/>
      <c r="F11" s="1273"/>
      <c r="G11" s="1273"/>
      <c r="H11" s="1273"/>
    </row>
    <row r="12" spans="1:16" ht="18.75" customHeight="1">
      <c r="C12" s="1273"/>
      <c r="D12" s="1273"/>
      <c r="E12" s="1273"/>
      <c r="F12" s="1273"/>
      <c r="G12" s="1273"/>
      <c r="H12" s="1273"/>
    </row>
    <row r="13" spans="1:16" ht="15.75" customHeight="1">
      <c r="C13" s="12"/>
      <c r="D13" s="12"/>
      <c r="E13" s="12"/>
      <c r="F13" s="12"/>
      <c r="G13" s="12"/>
      <c r="H13" s="12"/>
    </row>
    <row r="14" spans="1:16" ht="15.75">
      <c r="C14" s="414" t="str">
        <f>"A.   Determine 'R' with hypothetical "&amp;F17&amp;" basis point increase in ROE for Identified Projects"</f>
        <v>A.   Determine 'R' with hypothetical  basis point increase in ROE for Identified Projects</v>
      </c>
    </row>
    <row r="16" spans="1:16">
      <c r="C16" s="415" t="str">
        <f>"   ROE w/o incentives  (TCOS, ln "&amp;TCOS!B273&amp;")"</f>
        <v xml:space="preserve">   ROE w/o incentives  (TCOS, ln 156)</v>
      </c>
      <c r="E16" s="416"/>
      <c r="F16" s="417">
        <f>TCOS!J273</f>
        <v>9.8500000000000004E-2</v>
      </c>
      <c r="G16" s="416"/>
      <c r="H16" s="418"/>
      <c r="I16" s="418"/>
      <c r="J16" s="418"/>
      <c r="K16" s="418"/>
      <c r="L16" s="418"/>
      <c r="M16" s="418"/>
      <c r="N16" s="418"/>
      <c r="O16" s="418"/>
      <c r="P16" s="418"/>
    </row>
    <row r="17" spans="3:16">
      <c r="C17" s="415" t="s">
        <v>252</v>
      </c>
      <c r="E17" s="416"/>
      <c r="F17" s="633"/>
      <c r="G17" s="416"/>
      <c r="H17" s="418"/>
      <c r="I17" s="418"/>
      <c r="J17" s="418"/>
    </row>
    <row r="18" spans="3:16">
      <c r="C18" s="415" t="str">
        <f>"   ROE with additional "&amp;F17&amp;" basis point incentive"</f>
        <v xml:space="preserve">   ROE with additional  basis point incentive</v>
      </c>
      <c r="D18" s="416"/>
      <c r="E18" s="416"/>
      <c r="F18" s="419">
        <f>IF((F16+(F17/10000)&gt;0.1274),"ERROR",F16+(F17/10000))</f>
        <v>9.8500000000000004E-2</v>
      </c>
      <c r="G18" s="420"/>
      <c r="H18" s="418"/>
      <c r="I18" s="418"/>
      <c r="J18" s="418"/>
    </row>
    <row r="19" spans="3:16">
      <c r="C19" s="415" t="str">
        <f>"   Determine R  ( cost of long term debt, cost of preferred stock and equity percentage is from the TCOS, lns "&amp;TCOS!B271&amp;" through"&amp;TCOS!B273&amp;")"</f>
        <v xml:space="preserve">   Determine R  ( cost of long term debt, cost of preferred stock and equity percentage is from the TCOS, lns 154 through156)</v>
      </c>
      <c r="E19" s="416"/>
      <c r="F19" s="421"/>
      <c r="G19" s="416"/>
      <c r="H19" s="418"/>
      <c r="I19" s="418"/>
      <c r="J19" s="418"/>
    </row>
    <row r="20" spans="3:16">
      <c r="C20" s="418"/>
      <c r="D20" s="422" t="s">
        <v>146</v>
      </c>
      <c r="E20" s="422" t="s">
        <v>145</v>
      </c>
      <c r="F20" s="423" t="s">
        <v>253</v>
      </c>
      <c r="G20" s="416"/>
      <c r="H20" s="418"/>
      <c r="I20" s="418"/>
      <c r="J20" s="418"/>
    </row>
    <row r="21" spans="3:16" ht="13.5" thickBot="1">
      <c r="C21" s="424" t="s">
        <v>257</v>
      </c>
      <c r="D21" s="425">
        <f>TCOS!I271</f>
        <v>0.48406639502090348</v>
      </c>
      <c r="E21" s="425">
        <f>TCOS!J271</f>
        <v>4.2333680909333329E-2</v>
      </c>
      <c r="F21" s="426">
        <f>E21*D21</f>
        <v>2.0492312305746229E-2</v>
      </c>
      <c r="G21" s="416"/>
      <c r="H21" s="418"/>
      <c r="I21" s="427"/>
      <c r="J21" s="427"/>
      <c r="K21" s="197"/>
      <c r="L21" s="197"/>
      <c r="M21" s="197"/>
      <c r="N21" s="197"/>
      <c r="O21" s="197"/>
    </row>
    <row r="22" spans="3:16">
      <c r="C22" s="424" t="s">
        <v>258</v>
      </c>
      <c r="D22" s="425">
        <f>TCOS!I272</f>
        <v>0</v>
      </c>
      <c r="E22" s="425">
        <f>TCOS!J272</f>
        <v>0</v>
      </c>
      <c r="F22" s="426">
        <f>E22*D22</f>
        <v>0</v>
      </c>
      <c r="G22" s="428"/>
      <c r="H22" s="428"/>
      <c r="I22" s="429"/>
      <c r="J22" s="429"/>
      <c r="K22" s="1280" t="s">
        <v>451</v>
      </c>
      <c r="L22" s="1281"/>
      <c r="M22" s="1281"/>
      <c r="N22" s="1281"/>
      <c r="O22" s="1282"/>
      <c r="P22" s="429"/>
    </row>
    <row r="23" spans="3:16">
      <c r="C23" s="424" t="s">
        <v>244</v>
      </c>
      <c r="D23" s="425">
        <f>TCOS!I273</f>
        <v>0.51593360497909657</v>
      </c>
      <c r="E23" s="425">
        <f>+F18</f>
        <v>9.8500000000000004E-2</v>
      </c>
      <c r="F23" s="430">
        <f>E23*D23</f>
        <v>5.0819460090441013E-2</v>
      </c>
      <c r="G23" s="428"/>
      <c r="H23" s="428"/>
      <c r="I23" s="429"/>
      <c r="J23" s="429"/>
      <c r="K23" s="1283"/>
      <c r="L23" s="1284"/>
      <c r="M23" s="1284"/>
      <c r="N23" s="1284"/>
      <c r="O23" s="1285"/>
      <c r="P23" s="429"/>
    </row>
    <row r="24" spans="3:16">
      <c r="C24" s="415"/>
      <c r="D24"/>
      <c r="E24" s="431" t="s">
        <v>260</v>
      </c>
      <c r="F24" s="426">
        <f>SUM(F21:F23)</f>
        <v>7.1311772396187245E-2</v>
      </c>
      <c r="G24" s="428"/>
      <c r="H24" s="428"/>
      <c r="I24" s="429"/>
      <c r="J24" s="429"/>
      <c r="K24" s="432"/>
      <c r="L24" s="433"/>
      <c r="M24" s="434" t="s">
        <v>254</v>
      </c>
      <c r="N24" s="434" t="s">
        <v>255</v>
      </c>
      <c r="O24" s="435" t="s">
        <v>256</v>
      </c>
      <c r="P24" s="429"/>
    </row>
    <row r="25" spans="3:16">
      <c r="C25" s="4"/>
      <c r="D25" s="436"/>
      <c r="E25" s="436"/>
      <c r="F25" s="428"/>
      <c r="G25" s="428"/>
      <c r="H25" s="428"/>
      <c r="I25" s="428"/>
      <c r="J25" s="428"/>
      <c r="K25" s="437"/>
      <c r="L25" s="197"/>
      <c r="M25" s="197"/>
      <c r="N25" s="197"/>
      <c r="O25" s="438"/>
      <c r="P25" s="428"/>
    </row>
    <row r="26" spans="3:16" ht="16.5" thickBot="1">
      <c r="C26" s="414" t="str">
        <f>"B.   Determine Return using 'R' with hypothetical "&amp;F17&amp;" basis point ROE increase for Identified Projects."</f>
        <v>B.   Determine Return using 'R' with hypothetical  basis point ROE increase for Identified Projects.</v>
      </c>
      <c r="D26" s="436"/>
      <c r="E26" s="436"/>
      <c r="F26" s="428"/>
      <c r="G26" s="428"/>
      <c r="H26" s="416"/>
      <c r="I26" s="428"/>
      <c r="J26" s="428"/>
      <c r="K26" s="439" t="s">
        <v>261</v>
      </c>
      <c r="L26" s="440">
        <f>TCOS!L4</f>
        <v>2025</v>
      </c>
      <c r="M26" s="634">
        <f>N87+N177+N267+N357+N446+N535+N624+N713+N802+N891+N980+N1069+N1158+N1247+N1336+N1425+N1514+N1603+N1692+N1782+N1871+N1960</f>
        <v>9488619.4325768836</v>
      </c>
      <c r="N26" s="634">
        <f>N88+N178+N268+N358+N447+N536+N625+N714+N803+N892+N981+N1070+N1159+N1248+N1337+N1426+N1515+N1604+N1693+N1783+N1872+N1961</f>
        <v>9488619.4325768836</v>
      </c>
      <c r="O26" s="441">
        <f>+N26-M26</f>
        <v>0</v>
      </c>
      <c r="P26" s="428"/>
    </row>
    <row r="27" spans="3:16">
      <c r="C27" s="418"/>
      <c r="D27" s="436"/>
      <c r="E27" s="436"/>
      <c r="F27" s="428"/>
      <c r="G27" s="428"/>
      <c r="H27" s="428"/>
      <c r="I27" s="428"/>
      <c r="J27" s="428"/>
      <c r="K27" s="442"/>
      <c r="L27" s="442"/>
      <c r="M27" s="442"/>
      <c r="N27" s="442"/>
      <c r="O27" s="442"/>
      <c r="P27" s="428"/>
    </row>
    <row r="28" spans="3:16">
      <c r="C28" s="443" t="str">
        <f>"   Rate Base  (TCOS, ln "&amp;TCOS!B131&amp;")"</f>
        <v xml:space="preserve">   Rate Base  (TCOS, ln 68)</v>
      </c>
      <c r="D28" s="416"/>
      <c r="F28" s="444">
        <f>TCOS!L131</f>
        <v>2476847923.7184038</v>
      </c>
      <c r="G28" s="428"/>
      <c r="H28" s="428"/>
      <c r="I28" s="428"/>
      <c r="J28" s="428"/>
      <c r="K28" s="442"/>
      <c r="L28" s="442"/>
      <c r="M28" s="442"/>
      <c r="N28" s="442"/>
      <c r="O28" s="445"/>
      <c r="P28" s="428"/>
    </row>
    <row r="29" spans="3:16">
      <c r="C29" s="418" t="s">
        <v>474</v>
      </c>
      <c r="D29" s="446"/>
      <c r="F29" s="426">
        <f>F24</f>
        <v>7.1311772396187245E-2</v>
      </c>
      <c r="G29" s="428"/>
      <c r="H29" s="428"/>
      <c r="I29" s="428"/>
      <c r="J29" s="428"/>
      <c r="K29" s="428"/>
      <c r="L29" s="428"/>
      <c r="M29" s="428"/>
      <c r="N29" s="428"/>
      <c r="O29" s="428"/>
      <c r="P29" s="428"/>
    </row>
    <row r="30" spans="3:16">
      <c r="C30" s="447" t="s">
        <v>262</v>
      </c>
      <c r="D30" s="447"/>
      <c r="F30" s="429">
        <f>F28*F29</f>
        <v>176628415.39617577</v>
      </c>
      <c r="G30" s="428"/>
      <c r="H30" s="428"/>
      <c r="I30" s="429"/>
      <c r="J30" s="429"/>
      <c r="K30" s="429"/>
      <c r="L30" s="429"/>
      <c r="M30" s="429"/>
      <c r="N30" s="429"/>
      <c r="O30" s="428"/>
      <c r="P30" s="429"/>
    </row>
    <row r="31" spans="3:16">
      <c r="C31" s="447"/>
      <c r="D31" s="418"/>
      <c r="E31" s="418"/>
      <c r="F31" s="428"/>
      <c r="G31" s="428"/>
      <c r="H31" s="428"/>
      <c r="I31" s="429"/>
      <c r="J31" s="429"/>
      <c r="K31" s="429"/>
      <c r="L31" s="429"/>
      <c r="M31" s="429"/>
      <c r="N31" s="429"/>
      <c r="O31" s="428"/>
      <c r="P31" s="429"/>
    </row>
    <row r="32" spans="3:16" ht="15.75">
      <c r="C32" s="414" t="str">
        <f>"C.   Determine Income Taxes using Return with hypothetical "&amp;F17&amp;" basis point ROE increase for Identified Projects."</f>
        <v>C.   Determine Income Taxes using Return with hypothetical  basis point ROE increase for Identified Projects.</v>
      </c>
      <c r="D32" s="448"/>
      <c r="E32" s="448"/>
      <c r="F32" s="449"/>
      <c r="G32" s="449"/>
      <c r="H32" s="449"/>
      <c r="I32" s="450"/>
      <c r="J32" s="450"/>
      <c r="K32" s="450"/>
      <c r="L32" s="450"/>
      <c r="M32" s="450"/>
      <c r="N32" s="450"/>
      <c r="O32" s="449"/>
      <c r="P32" s="450"/>
    </row>
    <row r="33" spans="2:16">
      <c r="C33" s="415"/>
      <c r="D33" s="418"/>
      <c r="E33" s="418"/>
      <c r="F33" s="428"/>
      <c r="G33" s="428"/>
      <c r="H33" s="428"/>
      <c r="I33" s="429"/>
      <c r="J33" s="429"/>
      <c r="K33" s="429"/>
      <c r="L33" s="429"/>
      <c r="M33" s="429"/>
      <c r="N33" s="429"/>
      <c r="O33" s="428"/>
      <c r="P33" s="429"/>
    </row>
    <row r="34" spans="2:16">
      <c r="C34" s="418" t="s">
        <v>263</v>
      </c>
      <c r="D34" s="431"/>
      <c r="F34" s="451">
        <f>F30</f>
        <v>176628415.39617577</v>
      </c>
      <c r="G34" s="428"/>
      <c r="H34" s="428"/>
      <c r="I34" s="428"/>
      <c r="J34" s="428"/>
      <c r="K34" s="428"/>
      <c r="L34" s="428"/>
      <c r="M34" s="428"/>
      <c r="N34" s="428"/>
      <c r="O34" s="428"/>
      <c r="P34" s="428"/>
    </row>
    <row r="35" spans="2:16">
      <c r="C35" s="443" t="str">
        <f>"   Effective Tax Rate  (TCOS, ln "&amp;TCOS!B198&amp;")"</f>
        <v xml:space="preserve">   Effective Tax Rate  (TCOS, ln 114)</v>
      </c>
      <c r="D35" s="79"/>
      <c r="F35" s="81">
        <f>TCOS!G198</f>
        <v>0.2017466187308955</v>
      </c>
      <c r="G35" s="4"/>
      <c r="H35" s="452"/>
      <c r="I35" s="4"/>
      <c r="J35" s="4"/>
      <c r="K35" s="4"/>
      <c r="L35" s="4"/>
      <c r="M35" s="4"/>
      <c r="N35" s="4"/>
      <c r="O35" s="4"/>
    </row>
    <row r="36" spans="2:16">
      <c r="C36" s="447" t="s">
        <v>264</v>
      </c>
      <c r="D36" s="79"/>
      <c r="F36" s="453">
        <f>F34*F35</f>
        <v>35634185.577974506</v>
      </c>
      <c r="G36" s="4"/>
      <c r="H36" s="452"/>
      <c r="I36" s="4"/>
      <c r="J36" s="4"/>
      <c r="K36" s="4"/>
      <c r="L36" s="4"/>
      <c r="M36" s="4"/>
      <c r="N36" s="4"/>
      <c r="O36" s="4"/>
    </row>
    <row r="37" spans="2:16" ht="15">
      <c r="C37" s="415" t="s">
        <v>302</v>
      </c>
      <c r="D37" s="250"/>
      <c r="F37" s="428">
        <f>TCOS!L207</f>
        <v>0</v>
      </c>
      <c r="G37" s="250"/>
      <c r="H37" s="250"/>
      <c r="I37" s="250"/>
      <c r="J37" s="250"/>
      <c r="K37" s="250"/>
      <c r="L37" s="250"/>
      <c r="M37" s="250"/>
      <c r="N37" s="250"/>
      <c r="O37" s="264"/>
      <c r="P37" s="250"/>
    </row>
    <row r="38" spans="2:16" ht="15">
      <c r="C38" s="415" t="s">
        <v>532</v>
      </c>
      <c r="D38" s="250"/>
      <c r="F38" s="428">
        <f>TCOS!L208</f>
        <v>-10899434.800277518</v>
      </c>
      <c r="G38" s="250"/>
      <c r="H38" s="250"/>
      <c r="I38" s="250"/>
      <c r="J38" s="250"/>
      <c r="K38" s="250"/>
      <c r="L38" s="250"/>
      <c r="M38" s="250"/>
      <c r="N38" s="250"/>
      <c r="O38" s="264"/>
      <c r="P38" s="250"/>
    </row>
    <row r="39" spans="2:16" ht="15">
      <c r="C39" s="415" t="s">
        <v>533</v>
      </c>
      <c r="D39" s="250"/>
      <c r="F39" s="454">
        <f>TCOS!L209</f>
        <v>1784471.8035741395</v>
      </c>
      <c r="G39" s="250"/>
      <c r="H39" s="250"/>
      <c r="I39" s="250"/>
      <c r="J39" s="250"/>
      <c r="K39" s="250"/>
      <c r="L39" s="250"/>
      <c r="M39" s="250"/>
      <c r="N39" s="250"/>
      <c r="O39" s="264"/>
      <c r="P39" s="250"/>
    </row>
    <row r="40" spans="2:16" ht="15">
      <c r="C40" s="447" t="s">
        <v>265</v>
      </c>
      <c r="D40" s="250"/>
      <c r="F40" s="428">
        <f>F36+F37+F38+F39</f>
        <v>26519222.581271131</v>
      </c>
      <c r="G40" s="250"/>
      <c r="H40" s="250"/>
      <c r="I40" s="250"/>
      <c r="J40" s="250"/>
      <c r="K40" s="250"/>
      <c r="L40" s="250"/>
      <c r="M40" s="250"/>
      <c r="N40" s="250"/>
      <c r="O40" s="263"/>
      <c r="P40" s="250"/>
    </row>
    <row r="41" spans="2:16" ht="12.75" customHeight="1">
      <c r="C41" s="247"/>
      <c r="D41" s="250"/>
      <c r="E41" s="250"/>
      <c r="F41" s="250"/>
      <c r="G41" s="250"/>
      <c r="H41" s="250"/>
      <c r="I41" s="250"/>
      <c r="J41" s="250"/>
      <c r="K41" s="250"/>
      <c r="L41" s="250"/>
      <c r="M41" s="250"/>
      <c r="N41" s="250"/>
      <c r="O41" s="263"/>
      <c r="P41" s="250"/>
    </row>
    <row r="42" spans="2:16" ht="18.75">
      <c r="B42" s="413" t="s">
        <v>172</v>
      </c>
      <c r="C42" s="13" t="str">
        <f>"Calculate Net Plant Carrying Charge Rate (Fixed Charge Rate or FCR) with hypothetical "&amp;F17&amp;""</f>
        <v xml:space="preserve">Calculate Net Plant Carrying Charge Rate (Fixed Charge Rate or FCR) with hypothetical </v>
      </c>
      <c r="D42" s="250"/>
      <c r="E42" s="250"/>
      <c r="F42" s="250"/>
      <c r="G42" s="250"/>
      <c r="H42" s="250"/>
      <c r="I42" s="250"/>
      <c r="J42" s="250"/>
      <c r="K42" s="250"/>
      <c r="L42" s="250"/>
      <c r="M42" s="250"/>
      <c r="N42" s="250"/>
      <c r="O42" s="263"/>
      <c r="P42" s="250"/>
    </row>
    <row r="43" spans="2:16" ht="18.75" customHeight="1">
      <c r="C43" s="13" t="str">
        <f>"basis point ROE increase."</f>
        <v>basis point ROE increase.</v>
      </c>
      <c r="D43" s="250"/>
      <c r="E43" s="250"/>
      <c r="F43" s="250"/>
      <c r="G43" s="250"/>
      <c r="H43" s="250"/>
      <c r="I43" s="250"/>
      <c r="J43" s="250"/>
      <c r="K43" s="250"/>
      <c r="L43" s="250"/>
      <c r="M43" s="250"/>
      <c r="N43" s="250"/>
      <c r="O43" s="263"/>
      <c r="P43" s="250"/>
    </row>
    <row r="44" spans="2:16" ht="12.75" customHeight="1">
      <c r="C44" s="13"/>
      <c r="D44" s="250"/>
      <c r="E44" s="250"/>
      <c r="F44" s="250"/>
      <c r="G44" s="250"/>
      <c r="H44" s="250"/>
      <c r="I44" s="250"/>
      <c r="J44" s="250"/>
      <c r="K44" s="250"/>
      <c r="L44" s="250"/>
      <c r="M44" s="250"/>
      <c r="N44" s="250"/>
      <c r="O44" s="263"/>
      <c r="P44" s="250"/>
    </row>
    <row r="45" spans="2:16" ht="15.75">
      <c r="C45" s="414" t="s">
        <v>465</v>
      </c>
      <c r="D45" s="250"/>
      <c r="E45" s="250"/>
      <c r="F45" s="247"/>
      <c r="G45" s="250"/>
      <c r="H45" s="250"/>
      <c r="I45" s="250"/>
      <c r="J45" s="250"/>
      <c r="K45" s="250"/>
      <c r="L45" s="250"/>
      <c r="M45" s="250"/>
      <c r="N45" s="250"/>
      <c r="O45" s="263"/>
      <c r="P45" s="250"/>
    </row>
    <row r="46" spans="2:16">
      <c r="B46" s="4"/>
      <c r="C46" s="415"/>
      <c r="D46" s="416"/>
      <c r="E46" s="416"/>
      <c r="F46" s="416"/>
      <c r="G46" s="416"/>
      <c r="H46" s="416"/>
      <c r="I46" s="416"/>
      <c r="J46" s="416"/>
      <c r="K46" s="416"/>
      <c r="L46" s="416"/>
      <c r="M46" s="416"/>
      <c r="N46" s="416"/>
      <c r="O46" s="428"/>
      <c r="P46" s="416"/>
    </row>
    <row r="47" spans="2:16" ht="12.75" customHeight="1">
      <c r="B47" s="4"/>
      <c r="C47" s="443" t="str">
        <f>"   Annual Revenue Requirement  (TCOS, ln "&amp;TCOS!B13&amp;")"</f>
        <v xml:space="preserve">   Annual Revenue Requirement  (TCOS, ln 1)</v>
      </c>
      <c r="D47" s="416"/>
      <c r="E47" s="416"/>
      <c r="G47" s="428">
        <f>TCOS!L13</f>
        <v>511062852.97627866</v>
      </c>
      <c r="H47" s="416"/>
      <c r="I47" s="416"/>
      <c r="J47" s="416"/>
      <c r="K47" s="416"/>
      <c r="L47" s="416"/>
      <c r="M47" s="416"/>
      <c r="N47" s="416"/>
      <c r="O47" s="428"/>
      <c r="P47" s="416"/>
    </row>
    <row r="48" spans="2:16" ht="12.75" customHeight="1">
      <c r="B48" s="4"/>
      <c r="C48" s="443" t="str">
        <f>"   Lease Payments (TCOS, Ln "&amp;TCOS!B175&amp;")"</f>
        <v xml:space="preserve">   Lease Payments (TCOS, Ln 95)</v>
      </c>
      <c r="D48" s="416"/>
      <c r="E48" s="416"/>
      <c r="G48" s="428">
        <f>TCOS!L175</f>
        <v>2784788</v>
      </c>
      <c r="H48" s="416"/>
      <c r="I48" s="416"/>
      <c r="J48" s="416"/>
      <c r="K48" s="416"/>
      <c r="L48" s="416"/>
      <c r="M48" s="416"/>
      <c r="N48" s="416"/>
      <c r="O48" s="428"/>
      <c r="P48" s="416"/>
    </row>
    <row r="49" spans="2:16">
      <c r="B49" s="4"/>
      <c r="C49" s="443" t="str">
        <f>"   Return  (TCOS, ln "&amp;TCOS!B213&amp;")"</f>
        <v xml:space="preserve">   Return  (TCOS, ln 126)</v>
      </c>
      <c r="D49" s="416"/>
      <c r="E49" s="416"/>
      <c r="G49" s="429">
        <f>TCOS!L213</f>
        <v>176628415.39617577</v>
      </c>
      <c r="H49" s="415"/>
      <c r="I49" s="415"/>
      <c r="J49" s="415"/>
      <c r="K49" s="415"/>
      <c r="L49" s="415"/>
      <c r="M49" s="415"/>
      <c r="N49" s="415"/>
      <c r="O49" s="428"/>
      <c r="P49" s="415"/>
    </row>
    <row r="50" spans="2:16">
      <c r="B50" s="4"/>
      <c r="C50" s="443" t="str">
        <f>"   Income Taxes  (TCOS, ln "&amp;TCOS!B211&amp;")"</f>
        <v xml:space="preserve">   Income Taxes  (TCOS, ln 125)</v>
      </c>
      <c r="D50" s="416"/>
      <c r="E50" s="416"/>
      <c r="G50" s="455">
        <f>TCOS!L211</f>
        <v>26519222.581271131</v>
      </c>
      <c r="H50" s="416"/>
      <c r="I50" s="456"/>
      <c r="J50" s="456"/>
      <c r="K50" s="456"/>
      <c r="L50" s="456"/>
      <c r="M50" s="456"/>
      <c r="N50" s="456"/>
      <c r="O50" s="416"/>
      <c r="P50" s="456"/>
    </row>
    <row r="51" spans="2:16">
      <c r="B51" s="4"/>
      <c r="C51" s="4" t="s">
        <v>589</v>
      </c>
      <c r="D51" s="416"/>
      <c r="E51" s="416"/>
      <c r="G51" s="429">
        <f>G47-G49-G50-G48</f>
        <v>305130426.99883181</v>
      </c>
      <c r="H51" s="416"/>
      <c r="I51" s="457"/>
      <c r="J51" s="457"/>
      <c r="K51" s="457"/>
      <c r="L51" s="457"/>
      <c r="M51" s="457"/>
      <c r="N51" s="457"/>
      <c r="O51" s="457"/>
      <c r="P51" s="457"/>
    </row>
    <row r="52" spans="2:16">
      <c r="B52" s="4"/>
      <c r="C52" s="415"/>
      <c r="D52" s="416"/>
      <c r="E52" s="416"/>
      <c r="F52" s="428"/>
      <c r="G52" s="458"/>
      <c r="H52" s="459"/>
      <c r="I52" s="459"/>
      <c r="J52" s="459"/>
      <c r="K52" s="459"/>
      <c r="L52" s="459"/>
      <c r="M52" s="459"/>
      <c r="N52" s="459"/>
      <c r="O52" s="459"/>
      <c r="P52" s="459"/>
    </row>
    <row r="53" spans="2:16" ht="15.75">
      <c r="B53" s="4"/>
      <c r="C53" s="414" t="str">
        <f>"B.   Determine Annual Revenue Requirement with hypothetical "&amp;F17&amp;" basis point increase in ROE."</f>
        <v>B.   Determine Annual Revenue Requirement with hypothetical  basis point increase in ROE.</v>
      </c>
      <c r="D53" s="418"/>
      <c r="E53" s="418"/>
      <c r="F53" s="428"/>
      <c r="G53" s="458"/>
      <c r="H53" s="459"/>
      <c r="I53" s="459"/>
      <c r="J53" s="459"/>
      <c r="K53" s="459"/>
      <c r="L53" s="459"/>
      <c r="M53" s="459"/>
      <c r="N53" s="459"/>
      <c r="O53" s="459"/>
      <c r="P53" s="459"/>
    </row>
    <row r="54" spans="2:16">
      <c r="B54" s="4"/>
      <c r="C54" s="415"/>
      <c r="D54" s="418"/>
      <c r="E54" s="418"/>
      <c r="F54" s="428"/>
      <c r="G54" s="458"/>
      <c r="H54" s="459"/>
      <c r="I54" s="459"/>
      <c r="J54" s="459"/>
      <c r="K54" s="459"/>
      <c r="L54" s="459"/>
      <c r="M54" s="459"/>
      <c r="N54" s="459"/>
      <c r="O54" s="459"/>
      <c r="P54" s="459"/>
    </row>
    <row r="55" spans="2:16">
      <c r="B55" s="4"/>
      <c r="C55" s="415" t="str">
        <f>C51</f>
        <v xml:space="preserve">   Annual Revenue Requirement, Less Lease Payments, Return and Taxes</v>
      </c>
      <c r="D55" s="418"/>
      <c r="E55" s="418"/>
      <c r="G55" s="428">
        <f>G51</f>
        <v>305130426.99883181</v>
      </c>
      <c r="H55" s="416"/>
      <c r="I55" s="416"/>
      <c r="J55" s="416"/>
      <c r="K55" s="416"/>
      <c r="L55" s="416"/>
      <c r="M55" s="416"/>
      <c r="N55" s="416"/>
      <c r="O55" s="460"/>
      <c r="P55" s="416"/>
    </row>
    <row r="56" spans="2:16">
      <c r="B56" s="4"/>
      <c r="C56" s="418" t="s">
        <v>299</v>
      </c>
      <c r="D56" s="79"/>
      <c r="E56" s="4"/>
      <c r="G56" s="453">
        <f>F30</f>
        <v>176628415.39617577</v>
      </c>
      <c r="H56" s="461"/>
      <c r="I56" s="4"/>
      <c r="J56" s="4"/>
      <c r="K56" s="4"/>
      <c r="L56" s="4"/>
      <c r="M56" s="4"/>
      <c r="N56" s="4"/>
      <c r="O56" s="4"/>
    </row>
    <row r="57" spans="2:16" ht="12.75" customHeight="1">
      <c r="B57" s="4"/>
      <c r="C57" s="415" t="s">
        <v>266</v>
      </c>
      <c r="D57" s="416"/>
      <c r="E57" s="416"/>
      <c r="G57" s="455">
        <f>F40</f>
        <v>26519222.581271131</v>
      </c>
      <c r="H57" s="452"/>
      <c r="I57" s="4"/>
      <c r="J57" s="4"/>
      <c r="K57" s="4"/>
      <c r="L57" s="4"/>
      <c r="M57" s="4"/>
      <c r="N57" s="4"/>
      <c r="O57" s="4"/>
    </row>
    <row r="58" spans="2:16">
      <c r="B58" s="4"/>
      <c r="C58" s="4" t="str">
        <f>"   Annual Revenue Requirement, with "&amp;F17&amp;" Basis Point ROE increase"</f>
        <v xml:space="preserve">   Annual Revenue Requirement, with  Basis Point ROE increase</v>
      </c>
      <c r="D58" s="79"/>
      <c r="E58" s="4"/>
      <c r="G58" s="453">
        <f>SUM(G55:G57)</f>
        <v>508278064.97627872</v>
      </c>
      <c r="H58" s="452"/>
      <c r="I58" s="4"/>
      <c r="J58" s="4"/>
      <c r="K58" s="4"/>
      <c r="L58" s="4"/>
      <c r="M58" s="4"/>
      <c r="N58" s="4"/>
      <c r="O58" s="4"/>
    </row>
    <row r="59" spans="2:16">
      <c r="B59" s="4"/>
      <c r="C59" s="443" t="str">
        <f>"   Depreciation  (TCOS, ln "&amp;TCOS!B181&amp;")"</f>
        <v xml:space="preserve">   Depreciation  (TCOS, ln 100)</v>
      </c>
      <c r="D59" s="79"/>
      <c r="E59" s="4"/>
      <c r="G59" s="462">
        <f>TCOS!L181</f>
        <v>89533634</v>
      </c>
      <c r="H59" s="452"/>
      <c r="I59" s="4"/>
      <c r="J59" s="4"/>
      <c r="K59" s="4"/>
      <c r="L59" s="4"/>
      <c r="M59" s="4"/>
      <c r="N59" s="4"/>
      <c r="O59" s="4"/>
    </row>
    <row r="60" spans="2:16">
      <c r="B60" s="4"/>
      <c r="C60" s="4" t="str">
        <f>"   Annual Rev. Req, w/"&amp;F17&amp;" Basis Point ROE increase, less Depreciation"</f>
        <v xml:space="preserve">   Annual Rev. Req, w/ Basis Point ROE increase, less Depreciation</v>
      </c>
      <c r="D60" s="79"/>
      <c r="E60" s="4"/>
      <c r="G60" s="453">
        <f>G58-G59</f>
        <v>418744430.97627872</v>
      </c>
      <c r="H60" s="452"/>
      <c r="I60" s="4"/>
      <c r="J60" s="4"/>
      <c r="K60" s="4"/>
      <c r="L60" s="4"/>
      <c r="M60" s="4"/>
      <c r="N60" s="4"/>
      <c r="O60" s="4"/>
    </row>
    <row r="61" spans="2:16">
      <c r="B61" s="4"/>
      <c r="C61" s="4"/>
      <c r="D61" s="79"/>
      <c r="E61" s="4"/>
      <c r="F61" s="4"/>
      <c r="G61" s="4"/>
      <c r="H61" s="452"/>
      <c r="I61" s="4"/>
      <c r="J61" s="4"/>
      <c r="K61" s="4"/>
      <c r="L61" s="4"/>
      <c r="M61" s="4"/>
      <c r="N61" s="4"/>
      <c r="O61" s="4"/>
    </row>
    <row r="62" spans="2:16" ht="15.75">
      <c r="B62" s="4"/>
      <c r="C62" s="414" t="str">
        <f>"C.   Determine FCR with hypothetical "&amp;F17&amp;" basis point ROE increase."</f>
        <v>C.   Determine FCR with hypothetical  basis point ROE increase.</v>
      </c>
      <c r="D62" s="79"/>
      <c r="E62" s="4"/>
      <c r="F62" s="4"/>
      <c r="G62" s="4"/>
      <c r="H62" s="452"/>
      <c r="I62" s="4"/>
      <c r="J62" s="4"/>
      <c r="K62" s="4"/>
      <c r="L62" s="4"/>
      <c r="M62" s="4"/>
      <c r="N62" s="4"/>
      <c r="O62" s="4"/>
    </row>
    <row r="63" spans="2:16">
      <c r="B63" s="4"/>
      <c r="C63" s="4"/>
      <c r="D63" s="79"/>
      <c r="E63" s="4"/>
      <c r="F63" s="4"/>
      <c r="G63" s="4"/>
      <c r="H63" s="452"/>
      <c r="I63" s="4"/>
      <c r="J63" s="4"/>
      <c r="K63" s="4"/>
      <c r="L63" s="4"/>
      <c r="M63" s="4"/>
      <c r="N63" s="4"/>
      <c r="O63" s="4"/>
    </row>
    <row r="64" spans="2:16">
      <c r="B64" s="4"/>
      <c r="C64" s="443" t="str">
        <f>"   Net Transmission Plant  (TCOS, ln "&amp;TCOS!B95&amp;")"</f>
        <v xml:space="preserve">   Net Transmission Plant  (TCOS, ln 42)</v>
      </c>
      <c r="D64" s="79"/>
      <c r="E64" s="4"/>
      <c r="G64" s="453">
        <f>TCOS!L95</f>
        <v>2792257478.5753703</v>
      </c>
      <c r="H64" s="463"/>
      <c r="I64" s="4"/>
      <c r="J64" s="4"/>
      <c r="K64" s="4"/>
      <c r="L64" s="4"/>
      <c r="M64" s="4"/>
      <c r="N64" s="4"/>
      <c r="O64" s="4"/>
    </row>
    <row r="65" spans="2:15">
      <c r="B65" s="4"/>
      <c r="C65" s="4" t="str">
        <f>"   Annual Revenue Requirement, with "&amp;F17&amp;" Basis Point ROE increase"</f>
        <v xml:space="preserve">   Annual Revenue Requirement, with  Basis Point ROE increase</v>
      </c>
      <c r="D65" s="79"/>
      <c r="E65" s="4"/>
      <c r="G65" s="453">
        <f>G58</f>
        <v>508278064.97627872</v>
      </c>
      <c r="H65" s="452"/>
      <c r="I65" s="4"/>
      <c r="J65" s="4"/>
      <c r="K65" s="4"/>
      <c r="L65" s="4"/>
      <c r="M65" s="4"/>
      <c r="N65" s="4"/>
      <c r="O65" s="4"/>
    </row>
    <row r="66" spans="2:15">
      <c r="B66" s="4"/>
      <c r="C66" s="4" t="str">
        <f>"   FCR with "&amp;F17&amp;" Basis Point increase in ROE"</f>
        <v xml:space="preserve">   FCR with  Basis Point increase in ROE</v>
      </c>
      <c r="D66" s="79"/>
      <c r="E66" s="4"/>
      <c r="G66" s="81">
        <f>G65/G64</f>
        <v>0.18203123059969592</v>
      </c>
      <c r="H66" s="452"/>
      <c r="I66" s="4"/>
      <c r="J66" s="4"/>
      <c r="K66" s="4"/>
      <c r="L66" s="4"/>
      <c r="M66" s="4"/>
      <c r="N66" s="4"/>
      <c r="O66" s="4"/>
    </row>
    <row r="67" spans="2:15">
      <c r="B67" s="4"/>
      <c r="C67" s="69"/>
      <c r="D67" s="79"/>
      <c r="E67" s="4"/>
      <c r="G67" s="4"/>
      <c r="H67" s="452"/>
      <c r="I67" s="4"/>
      <c r="J67" s="4"/>
      <c r="K67" s="4"/>
      <c r="L67" s="4"/>
      <c r="M67" s="4"/>
      <c r="N67" s="4"/>
      <c r="O67" s="4"/>
    </row>
    <row r="68" spans="2:15">
      <c r="B68" s="4"/>
      <c r="C68" s="4" t="str">
        <f>"   Annual Rev. Req, w / "&amp;F17&amp;" Basis Point ROE increase, less Dep."</f>
        <v xml:space="preserve">   Annual Rev. Req, w /  Basis Point ROE increase, less Dep.</v>
      </c>
      <c r="D68" s="79"/>
      <c r="E68" s="4"/>
      <c r="G68" s="453">
        <f>G60</f>
        <v>418744430.97627872</v>
      </c>
      <c r="H68" s="452"/>
      <c r="I68" s="4"/>
      <c r="J68" s="4"/>
      <c r="K68" s="4"/>
      <c r="L68" s="4"/>
      <c r="M68" s="4"/>
      <c r="N68" s="4"/>
      <c r="O68" s="4"/>
    </row>
    <row r="69" spans="2:15">
      <c r="B69" s="4"/>
      <c r="C69" s="4" t="str">
        <f>"   FCR with "&amp;F17&amp;" Basis Point ROE increase, less Depreciation"</f>
        <v xml:space="preserve">   FCR with  Basis Point ROE increase, less Depreciation</v>
      </c>
      <c r="D69" s="79"/>
      <c r="E69" s="4"/>
      <c r="G69" s="81">
        <f>G68/G64</f>
        <v>0.14996626714737107</v>
      </c>
      <c r="H69" s="452"/>
      <c r="I69" s="4"/>
      <c r="J69" s="4"/>
      <c r="K69" s="4"/>
      <c r="L69" s="4"/>
      <c r="M69" s="4"/>
      <c r="N69" s="4"/>
      <c r="O69" s="4"/>
    </row>
    <row r="70" spans="2:15">
      <c r="B70" s="4"/>
      <c r="C70" s="443" t="str">
        <f>"   FCR less Depreciation  (TCOS, ln "&amp;TCOS!B34&amp;")"</f>
        <v xml:space="preserve">   FCR less Depreciation  (TCOS, ln 10)</v>
      </c>
      <c r="D70" s="79"/>
      <c r="E70" s="4"/>
      <c r="G70" s="464">
        <f>TCOS!L34</f>
        <v>0.14996626714737105</v>
      </c>
      <c r="H70" s="452"/>
      <c r="I70" s="4"/>
      <c r="J70" s="4"/>
      <c r="K70" s="4"/>
      <c r="L70" s="4"/>
      <c r="M70" s="4"/>
      <c r="N70" s="4"/>
      <c r="O70" s="4"/>
    </row>
    <row r="71" spans="2:15">
      <c r="B71" s="4"/>
      <c r="C71" s="4" t="str">
        <f>"   Incremental FCR with "&amp;F17&amp;" Basis Point ROE increase, less Depreciation"</f>
        <v xml:space="preserve">   Incremental FCR with  Basis Point ROE increase, less Depreciation</v>
      </c>
      <c r="D71" s="79"/>
      <c r="E71" s="4"/>
      <c r="G71" s="81">
        <f>G69-G70</f>
        <v>0</v>
      </c>
      <c r="H71" s="452"/>
      <c r="I71" s="4"/>
      <c r="J71" s="4"/>
      <c r="K71" s="4"/>
      <c r="L71" s="4"/>
      <c r="M71" s="4"/>
      <c r="N71" s="4"/>
      <c r="O71" s="4"/>
    </row>
    <row r="72" spans="2:15">
      <c r="B72" s="4"/>
      <c r="C72" s="4"/>
      <c r="D72" s="79"/>
      <c r="E72" s="4"/>
      <c r="F72" s="81"/>
      <c r="G72" s="4"/>
      <c r="H72" s="452"/>
      <c r="I72" s="4"/>
      <c r="J72" s="4"/>
      <c r="K72" s="4"/>
      <c r="L72" s="4"/>
      <c r="M72" s="4"/>
      <c r="N72" s="4"/>
      <c r="O72" s="4"/>
    </row>
    <row r="73" spans="2:15" ht="18.75">
      <c r="B73" s="413" t="s">
        <v>173</v>
      </c>
      <c r="C73" s="13" t="s">
        <v>267</v>
      </c>
      <c r="D73" s="79"/>
      <c r="E73" s="4"/>
      <c r="F73" s="81"/>
      <c r="G73" s="4"/>
      <c r="H73" s="452"/>
      <c r="I73" s="4"/>
      <c r="J73" s="4"/>
      <c r="K73" s="4"/>
      <c r="L73" s="4"/>
      <c r="M73" s="4"/>
      <c r="N73" s="4"/>
      <c r="O73" s="4"/>
    </row>
    <row r="74" spans="2:15">
      <c r="B74" s="4"/>
      <c r="C74" s="4"/>
      <c r="D74" s="79"/>
      <c r="E74" s="4"/>
      <c r="F74" s="81"/>
      <c r="G74" s="4"/>
      <c r="H74" s="452"/>
      <c r="I74" s="4"/>
      <c r="J74" s="4"/>
      <c r="K74" s="4"/>
      <c r="L74" s="4"/>
      <c r="M74" s="4"/>
      <c r="N74" s="4"/>
      <c r="O74" s="4"/>
    </row>
    <row r="75" spans="2:15">
      <c r="B75" s="4"/>
      <c r="C75" s="4" t="str">
        <f>+"Average Transmission Plant Balance for "&amp;TCOS!L4&amp;" (TCOS, ln "&amp;TCOS!B68&amp;")"</f>
        <v>Average Transmission Plant Balance for 2025 (TCOS, ln 21)</v>
      </c>
      <c r="D75" s="79"/>
      <c r="G75" s="452">
        <f>TCOS!L68</f>
        <v>3771560679.9469085</v>
      </c>
      <c r="I75" s="4"/>
      <c r="J75" s="4"/>
      <c r="K75" s="467"/>
      <c r="L75" s="4"/>
      <c r="M75" s="4"/>
      <c r="N75" s="4"/>
      <c r="O75" s="4"/>
    </row>
    <row r="76" spans="2:15">
      <c r="B76" s="4"/>
      <c r="C76" s="465" t="str">
        <f>"Annual Depreciation and Amortization Expense  (TCOS, ln "&amp;TCOS!B181&amp;")"</f>
        <v>Annual Depreciation and Amortization Expense  (TCOS, ln 100)</v>
      </c>
      <c r="D76" s="79"/>
      <c r="E76" s="4"/>
      <c r="G76" s="466">
        <f>TCOS!L181</f>
        <v>89533634</v>
      </c>
      <c r="H76" s="452"/>
      <c r="I76" s="4"/>
      <c r="J76" s="4"/>
      <c r="K76" s="4"/>
      <c r="L76" s="4"/>
      <c r="M76" s="4"/>
      <c r="N76" s="4"/>
      <c r="O76" s="4"/>
    </row>
    <row r="77" spans="2:15">
      <c r="B77" s="4"/>
      <c r="C77" s="4" t="s">
        <v>268</v>
      </c>
      <c r="D77" s="79"/>
      <c r="E77" s="4"/>
      <c r="G77" s="81">
        <f>+G76/G75</f>
        <v>2.3739147158905141E-2</v>
      </c>
      <c r="H77" s="468"/>
      <c r="I77" s="4"/>
      <c r="J77" s="4"/>
      <c r="K77" s="4"/>
      <c r="L77" s="4"/>
      <c r="M77" s="4"/>
      <c r="N77" s="4"/>
      <c r="O77" s="4"/>
    </row>
    <row r="78" spans="2:15">
      <c r="B78" s="4"/>
      <c r="C78" s="4" t="s">
        <v>269</v>
      </c>
      <c r="D78" s="79"/>
      <c r="E78" s="4"/>
      <c r="G78" s="468">
        <f>1/G77</f>
        <v>42.124512447991428</v>
      </c>
      <c r="H78" s="452"/>
      <c r="I78" s="4"/>
      <c r="J78" s="4"/>
      <c r="K78" s="4"/>
      <c r="L78" s="4"/>
      <c r="M78" s="4"/>
      <c r="N78" s="4"/>
      <c r="O78" s="4"/>
    </row>
    <row r="79" spans="2:15">
      <c r="B79" s="4"/>
      <c r="C79" s="4" t="s">
        <v>270</v>
      </c>
      <c r="D79" s="79"/>
      <c r="E79" s="4"/>
      <c r="G79" s="469">
        <f>ROUND(G78,0)</f>
        <v>42</v>
      </c>
      <c r="H79" s="452"/>
      <c r="I79" s="4"/>
      <c r="J79" s="4"/>
      <c r="K79" s="4"/>
      <c r="L79" s="4"/>
      <c r="M79" s="4"/>
      <c r="N79" s="4"/>
      <c r="O79" s="4"/>
    </row>
    <row r="80" spans="2:15">
      <c r="B80" s="4"/>
      <c r="C80" s="4"/>
      <c r="D80" s="79"/>
      <c r="E80" s="4"/>
      <c r="G80" s="469"/>
      <c r="H80" s="452"/>
      <c r="I80" s="4"/>
      <c r="J80" s="4"/>
      <c r="K80" s="4"/>
      <c r="L80" s="4"/>
      <c r="M80" s="4"/>
      <c r="N80" s="4"/>
      <c r="O80" s="4"/>
    </row>
    <row r="81" spans="1:16" ht="20.25">
      <c r="A81" s="411" t="s">
        <v>921</v>
      </c>
      <c r="B81" s="4"/>
      <c r="C81" s="4"/>
      <c r="D81" s="79"/>
      <c r="E81" s="4"/>
      <c r="F81" s="81"/>
      <c r="G81" s="4"/>
      <c r="H81" s="914"/>
      <c r="K81" s="11"/>
      <c r="L81" s="11"/>
      <c r="M81" s="11"/>
      <c r="N81" s="11" t="str">
        <f>"Page "&amp;SUM(P$6:P81)&amp;" of "</f>
        <v xml:space="preserve">Page 1 of </v>
      </c>
      <c r="O81" s="412">
        <f>COUNT(P$6:P$59579)</f>
        <v>22</v>
      </c>
      <c r="P81" s="471"/>
    </row>
    <row r="82" spans="1:16">
      <c r="B82" s="4"/>
      <c r="C82" s="4"/>
      <c r="D82" s="79"/>
      <c r="E82" s="4"/>
      <c r="F82" s="4"/>
      <c r="G82" s="4"/>
      <c r="H82" s="914"/>
      <c r="I82" s="4"/>
      <c r="J82" s="4"/>
      <c r="K82" s="4"/>
      <c r="L82" s="4"/>
      <c r="M82" s="4"/>
      <c r="N82" s="4"/>
      <c r="O82" s="4"/>
    </row>
    <row r="83" spans="1:16" ht="18">
      <c r="B83" s="413" t="s">
        <v>174</v>
      </c>
      <c r="C83" s="472" t="s">
        <v>290</v>
      </c>
      <c r="D83" s="79"/>
      <c r="E83" s="4"/>
      <c r="F83" s="4"/>
      <c r="G83" s="4"/>
      <c r="H83" s="914"/>
      <c r="I83" s="914"/>
      <c r="J83" s="915"/>
      <c r="K83" s="914"/>
      <c r="L83" s="914"/>
      <c r="M83" s="914"/>
      <c r="N83" s="914"/>
      <c r="O83" s="4"/>
    </row>
    <row r="84" spans="1:16" ht="18.75">
      <c r="B84" s="413"/>
      <c r="C84" s="13"/>
      <c r="D84" s="79"/>
      <c r="E84" s="4"/>
      <c r="F84" s="4"/>
      <c r="G84" s="4"/>
      <c r="H84" s="914"/>
      <c r="I84" s="914"/>
      <c r="J84" s="915"/>
      <c r="K84" s="914"/>
      <c r="L84" s="914"/>
      <c r="M84" s="914"/>
      <c r="N84" s="914"/>
      <c r="O84" s="4"/>
    </row>
    <row r="85" spans="1:16" ht="18.75">
      <c r="B85" s="413"/>
      <c r="C85" s="13" t="s">
        <v>291</v>
      </c>
      <c r="D85" s="79"/>
      <c r="E85" s="4"/>
      <c r="F85" s="4"/>
      <c r="G85" s="4"/>
      <c r="H85" s="914"/>
      <c r="I85" s="914"/>
      <c r="J85" s="915"/>
      <c r="K85" s="914"/>
      <c r="L85" s="914"/>
      <c r="M85" s="914"/>
      <c r="N85" s="914"/>
      <c r="O85" s="4"/>
    </row>
    <row r="86" spans="1:16" ht="15.75" thickBot="1">
      <c r="C86" s="247"/>
      <c r="D86" s="79"/>
      <c r="E86" s="4"/>
      <c r="F86" s="4"/>
      <c r="G86" s="4"/>
      <c r="H86" s="914"/>
      <c r="I86" s="914"/>
      <c r="J86" s="915"/>
      <c r="K86" s="914"/>
      <c r="L86" s="914"/>
      <c r="M86" s="914"/>
      <c r="N86" s="914"/>
      <c r="O86" s="4"/>
    </row>
    <row r="87" spans="1:16" ht="15.75">
      <c r="C87" s="414" t="s">
        <v>292</v>
      </c>
      <c r="D87" s="79"/>
      <c r="E87" s="4"/>
      <c r="F87" s="4"/>
      <c r="G87" s="916"/>
      <c r="H87" s="4" t="s">
        <v>271</v>
      </c>
      <c r="I87" s="4"/>
      <c r="J87" s="4"/>
      <c r="K87" s="473" t="s">
        <v>296</v>
      </c>
      <c r="L87" s="474"/>
      <c r="M87" s="475"/>
      <c r="N87" s="917">
        <f>VLOOKUP(I93,C100:O159,5)</f>
        <v>782420.59312475973</v>
      </c>
      <c r="O87" s="4"/>
    </row>
    <row r="88" spans="1:16" ht="15.75">
      <c r="C88" s="414"/>
      <c r="D88" s="79"/>
      <c r="E88" s="4"/>
      <c r="F88" s="4"/>
      <c r="G88" s="4"/>
      <c r="H88" s="918"/>
      <c r="I88" s="918"/>
      <c r="J88" s="919"/>
      <c r="K88" s="478" t="s">
        <v>297</v>
      </c>
      <c r="L88" s="920"/>
      <c r="M88" s="4"/>
      <c r="N88" s="921">
        <f>VLOOKUP(I93,C100:O159,6)</f>
        <v>782420.59312475973</v>
      </c>
      <c r="O88" s="4"/>
    </row>
    <row r="89" spans="1:16" ht="13.5" thickBot="1">
      <c r="C89" s="479" t="s">
        <v>293</v>
      </c>
      <c r="D89" s="1274" t="s">
        <v>922</v>
      </c>
      <c r="E89" s="1274"/>
      <c r="F89" s="1274"/>
      <c r="G89" s="1274"/>
      <c r="H89" s="914"/>
      <c r="I89" s="914"/>
      <c r="J89" s="915"/>
      <c r="K89" s="922" t="s">
        <v>450</v>
      </c>
      <c r="L89" s="923"/>
      <c r="M89" s="923"/>
      <c r="N89" s="924">
        <f>+N88-N87</f>
        <v>0</v>
      </c>
      <c r="O89" s="4"/>
    </row>
    <row r="90" spans="1:16">
      <c r="C90" s="481"/>
      <c r="D90" s="482"/>
      <c r="E90" s="469"/>
      <c r="F90" s="469"/>
      <c r="G90" s="483"/>
      <c r="H90" s="914"/>
      <c r="I90" s="914"/>
      <c r="J90" s="915"/>
      <c r="K90" s="914"/>
      <c r="L90" s="914"/>
      <c r="M90" s="914"/>
      <c r="N90" s="914"/>
      <c r="O90" s="4"/>
    </row>
    <row r="91" spans="1:16" ht="13.5" thickBot="1">
      <c r="C91" s="481"/>
      <c r="D91" s="925"/>
      <c r="E91" s="483"/>
      <c r="F91" s="483"/>
      <c r="G91" s="483"/>
      <c r="H91" s="483"/>
      <c r="I91" s="483"/>
      <c r="J91" s="483"/>
      <c r="K91" s="483"/>
      <c r="L91" s="483"/>
      <c r="M91" s="483"/>
      <c r="N91" s="483"/>
      <c r="O91" s="4"/>
    </row>
    <row r="92" spans="1:16" ht="13.5" thickBot="1">
      <c r="C92" s="484" t="s">
        <v>294</v>
      </c>
      <c r="D92" s="485"/>
      <c r="E92" s="485"/>
      <c r="F92" s="485"/>
      <c r="G92" s="485"/>
      <c r="H92" s="485"/>
      <c r="I92" s="486"/>
      <c r="K92" s="4"/>
      <c r="L92" s="4"/>
      <c r="M92" s="4"/>
      <c r="N92" s="4"/>
      <c r="O92" s="4"/>
    </row>
    <row r="93" spans="1:16" ht="15">
      <c r="C93" s="487" t="s">
        <v>272</v>
      </c>
      <c r="D93" s="926">
        <v>5559037</v>
      </c>
      <c r="E93" s="4" t="s">
        <v>273</v>
      </c>
      <c r="G93" s="79"/>
      <c r="H93" s="79"/>
      <c r="I93" s="488">
        <v>2018</v>
      </c>
      <c r="J93" s="135"/>
      <c r="K93" s="1277" t="s">
        <v>459</v>
      </c>
      <c r="L93" s="1277"/>
      <c r="M93" s="1277"/>
      <c r="N93" s="1277"/>
      <c r="O93" s="1277"/>
    </row>
    <row r="94" spans="1:16">
      <c r="C94" s="487" t="s">
        <v>275</v>
      </c>
      <c r="D94" s="644">
        <v>2009</v>
      </c>
      <c r="E94" s="487" t="s">
        <v>276</v>
      </c>
      <c r="F94" s="79"/>
      <c r="H94"/>
      <c r="I94" s="927">
        <f>IF(G87="",0,$F$15)</f>
        <v>0</v>
      </c>
      <c r="J94" s="489"/>
      <c r="K94" s="915" t="s">
        <v>459</v>
      </c>
    </row>
    <row r="95" spans="1:16">
      <c r="C95" s="487" t="s">
        <v>277</v>
      </c>
      <c r="D95" s="926">
        <v>3</v>
      </c>
      <c r="E95" s="487" t="s">
        <v>278</v>
      </c>
      <c r="F95" s="79"/>
      <c r="H95"/>
      <c r="I95" s="490">
        <f>$G$70</f>
        <v>0.14996626714737105</v>
      </c>
      <c r="J95" s="81"/>
      <c r="K95" t="str">
        <f>"          INPUT PROJECTED ARR (WITH &amp; WITHOUT INCENTIVES) FROM EACH PRIOR YEAR"</f>
        <v xml:space="preserve">          INPUT PROJECTED ARR (WITH &amp; WITHOUT INCENTIVES) FROM EACH PRIOR YEAR</v>
      </c>
    </row>
    <row r="96" spans="1:16">
      <c r="C96" s="487" t="s">
        <v>279</v>
      </c>
      <c r="D96" s="491">
        <f>G$79</f>
        <v>42</v>
      </c>
      <c r="E96" s="487" t="s">
        <v>280</v>
      </c>
      <c r="F96" s="79"/>
      <c r="H96"/>
      <c r="I96" s="490">
        <f>IF(G87="",I95,$G$67)</f>
        <v>0.14996626714737105</v>
      </c>
      <c r="J96" s="81"/>
      <c r="K96" t="s">
        <v>357</v>
      </c>
    </row>
    <row r="97" spans="1:15" ht="13.5" thickBot="1">
      <c r="C97" s="487" t="s">
        <v>281</v>
      </c>
      <c r="D97" s="637" t="s">
        <v>923</v>
      </c>
      <c r="E97" s="492" t="s">
        <v>282</v>
      </c>
      <c r="F97" s="493"/>
      <c r="G97" s="494"/>
      <c r="H97" s="494"/>
      <c r="I97" s="924">
        <f>IF(D93=0,0,D93/D96)</f>
        <v>132358.02380952382</v>
      </c>
      <c r="J97" s="915"/>
      <c r="K97" s="915" t="s">
        <v>363</v>
      </c>
      <c r="L97" s="915"/>
      <c r="M97" s="915"/>
      <c r="N97" s="915"/>
      <c r="O97" s="4"/>
    </row>
    <row r="98" spans="1:15" ht="51">
      <c r="A98" s="12"/>
      <c r="B98" s="12"/>
      <c r="C98" s="495" t="s">
        <v>272</v>
      </c>
      <c r="D98" s="928" t="s">
        <v>283</v>
      </c>
      <c r="E98" s="929" t="s">
        <v>284</v>
      </c>
      <c r="F98" s="928" t="s">
        <v>285</v>
      </c>
      <c r="G98" s="929" t="s">
        <v>356</v>
      </c>
      <c r="H98" s="930" t="s">
        <v>356</v>
      </c>
      <c r="I98" s="495" t="s">
        <v>295</v>
      </c>
      <c r="J98" s="499"/>
      <c r="K98" s="929" t="s">
        <v>365</v>
      </c>
      <c r="L98" s="931"/>
      <c r="M98" s="929" t="s">
        <v>365</v>
      </c>
      <c r="N98" s="931"/>
      <c r="O98" s="931"/>
    </row>
    <row r="99" spans="1:15" ht="13.5" thickBot="1">
      <c r="C99" s="500" t="s">
        <v>177</v>
      </c>
      <c r="D99" s="501" t="s">
        <v>178</v>
      </c>
      <c r="E99" s="500" t="s">
        <v>37</v>
      </c>
      <c r="F99" s="501" t="s">
        <v>178</v>
      </c>
      <c r="G99" s="932" t="s">
        <v>298</v>
      </c>
      <c r="H99" s="933" t="s">
        <v>300</v>
      </c>
      <c r="I99" s="500" t="s">
        <v>389</v>
      </c>
      <c r="J99" s="504"/>
      <c r="K99" s="932" t="s">
        <v>287</v>
      </c>
      <c r="L99" s="934"/>
      <c r="M99" s="932" t="s">
        <v>300</v>
      </c>
      <c r="N99" s="934"/>
      <c r="O99" s="934"/>
    </row>
    <row r="100" spans="1:15">
      <c r="C100" s="505">
        <f>IF(D94= "","-",D94)</f>
        <v>2009</v>
      </c>
      <c r="D100" s="469">
        <f>+D93</f>
        <v>5559037</v>
      </c>
      <c r="E100" s="935">
        <f>+I97/12*(12-D95)</f>
        <v>99268.51785714287</v>
      </c>
      <c r="F100" s="469">
        <f t="shared" ref="F100:F159" si="0">+D100-E100</f>
        <v>5459768.4821428573</v>
      </c>
      <c r="G100" s="936">
        <f>+$I$95*((D100+F100)/2)+E100</f>
        <v>925493.08114711905</v>
      </c>
      <c r="H100" s="937">
        <f>$I$96*((D100+F100)/2)+E100</f>
        <v>925493.08114711905</v>
      </c>
      <c r="I100" s="509">
        <f>+H100-G100</f>
        <v>0</v>
      </c>
      <c r="J100" s="509"/>
      <c r="K100" s="639">
        <v>894795.92009701405</v>
      </c>
      <c r="L100" s="510"/>
      <c r="M100" s="639">
        <v>894795.92009701405</v>
      </c>
      <c r="N100" s="510"/>
      <c r="O100" s="510"/>
    </row>
    <row r="101" spans="1:15">
      <c r="C101" s="505">
        <f>IF(D94="","-",+C100+1)</f>
        <v>2010</v>
      </c>
      <c r="D101" s="469">
        <f t="shared" ref="D101:D159" si="1">F100</f>
        <v>5459768.4821428573</v>
      </c>
      <c r="E101" s="511">
        <f>IF(D101&gt;$I$97,$I$97,D101)</f>
        <v>132358.02380952382</v>
      </c>
      <c r="F101" s="469">
        <f t="shared" si="0"/>
        <v>5327410.458333333</v>
      </c>
      <c r="G101" s="935">
        <f t="shared" ref="G101:G159" si="2">+$I$95*((D101+F101)/2)+E101</f>
        <v>941214.50318649749</v>
      </c>
      <c r="H101" s="938">
        <f t="shared" ref="H101:H159" si="3">$I$96*((D101+F101)/2)+E101</f>
        <v>941214.50318649749</v>
      </c>
      <c r="I101" s="509">
        <f t="shared" ref="I101:I159" si="4">+H101-G101</f>
        <v>0</v>
      </c>
      <c r="J101" s="509"/>
      <c r="K101" s="640">
        <v>1094271.219602833</v>
      </c>
      <c r="L101" s="514"/>
      <c r="M101" s="640">
        <v>1094271.219602833</v>
      </c>
      <c r="N101" s="514"/>
      <c r="O101" s="514"/>
    </row>
    <row r="102" spans="1:15">
      <c r="C102" s="505">
        <f>IF(D94="","-",+C101+1)</f>
        <v>2011</v>
      </c>
      <c r="D102" s="469">
        <f t="shared" si="1"/>
        <v>5327410.458333333</v>
      </c>
      <c r="E102" s="511">
        <f t="shared" ref="E102:E159" si="5">IF(D102&gt;$I$97,$I$97,D102)</f>
        <v>132358.02380952382</v>
      </c>
      <c r="F102" s="469">
        <f t="shared" si="0"/>
        <v>5195052.4345238088</v>
      </c>
      <c r="G102" s="935">
        <f t="shared" si="2"/>
        <v>921365.26442878018</v>
      </c>
      <c r="H102" s="938">
        <f t="shared" si="3"/>
        <v>921365.26442878018</v>
      </c>
      <c r="I102" s="509">
        <f t="shared" si="4"/>
        <v>0</v>
      </c>
      <c r="J102" s="509"/>
      <c r="K102" s="640">
        <v>1210680</v>
      </c>
      <c r="L102" s="514"/>
      <c r="M102" s="640">
        <v>1210680</v>
      </c>
      <c r="N102" s="514"/>
      <c r="O102" s="514"/>
    </row>
    <row r="103" spans="1:15">
      <c r="C103" s="505">
        <f>IF(D94="","-",+C102+1)</f>
        <v>2012</v>
      </c>
      <c r="D103" s="469">
        <f t="shared" si="1"/>
        <v>5195052.4345238088</v>
      </c>
      <c r="E103" s="511">
        <f t="shared" si="5"/>
        <v>132358.02380952382</v>
      </c>
      <c r="F103" s="469">
        <f t="shared" si="0"/>
        <v>5062694.4107142845</v>
      </c>
      <c r="G103" s="935">
        <f t="shared" si="2"/>
        <v>901516.02567106299</v>
      </c>
      <c r="H103" s="938">
        <f t="shared" si="3"/>
        <v>901516.02567106299</v>
      </c>
      <c r="I103" s="509">
        <f t="shared" si="4"/>
        <v>0</v>
      </c>
      <c r="J103" s="509"/>
      <c r="K103" s="640">
        <v>1057665.8743332385</v>
      </c>
      <c r="L103" s="514"/>
      <c r="M103" s="640">
        <v>1057665.8743332385</v>
      </c>
      <c r="N103" s="514"/>
      <c r="O103" s="514"/>
    </row>
    <row r="104" spans="1:15">
      <c r="C104" s="505">
        <f>IF(D94="","-",+C103+1)</f>
        <v>2013</v>
      </c>
      <c r="D104" s="469">
        <f t="shared" si="1"/>
        <v>5062694.4107142845</v>
      </c>
      <c r="E104" s="511">
        <f t="shared" si="5"/>
        <v>132358.02380952382</v>
      </c>
      <c r="F104" s="469">
        <f t="shared" si="0"/>
        <v>4930336.3869047603</v>
      </c>
      <c r="G104" s="935">
        <f t="shared" si="2"/>
        <v>881666.7869133458</v>
      </c>
      <c r="H104" s="938">
        <f t="shared" si="3"/>
        <v>881666.7869133458</v>
      </c>
      <c r="I104" s="509">
        <f t="shared" si="4"/>
        <v>0</v>
      </c>
      <c r="J104" s="509"/>
      <c r="K104" s="939">
        <v>1051933</v>
      </c>
      <c r="L104" s="514"/>
      <c r="M104" s="939">
        <v>1051933</v>
      </c>
      <c r="N104" s="514"/>
      <c r="O104" s="514"/>
    </row>
    <row r="105" spans="1:15">
      <c r="C105" s="505">
        <f>IF(D94="","-",+C104+1)</f>
        <v>2014</v>
      </c>
      <c r="D105" s="469">
        <f t="shared" si="1"/>
        <v>4930336.3869047603</v>
      </c>
      <c r="E105" s="511">
        <f t="shared" si="5"/>
        <v>132358.02380952382</v>
      </c>
      <c r="F105" s="469">
        <f t="shared" si="0"/>
        <v>4797978.363095236</v>
      </c>
      <c r="G105" s="935">
        <f t="shared" si="2"/>
        <v>861817.54815562861</v>
      </c>
      <c r="H105" s="938">
        <f t="shared" si="3"/>
        <v>861817.54815562861</v>
      </c>
      <c r="I105" s="509">
        <f t="shared" si="4"/>
        <v>0</v>
      </c>
      <c r="J105" s="509"/>
      <c r="K105" s="640">
        <v>1050369</v>
      </c>
      <c r="L105" s="514"/>
      <c r="M105" s="640">
        <v>1050369</v>
      </c>
      <c r="N105" s="514"/>
      <c r="O105" s="514"/>
    </row>
    <row r="106" spans="1:15">
      <c r="C106" s="505">
        <f>IF(D94="","-",+C105+1)</f>
        <v>2015</v>
      </c>
      <c r="D106" s="469">
        <f t="shared" si="1"/>
        <v>4797978.363095236</v>
      </c>
      <c r="E106" s="511">
        <f t="shared" si="5"/>
        <v>132358.02380952382</v>
      </c>
      <c r="F106" s="469">
        <f t="shared" si="0"/>
        <v>4665620.3392857118</v>
      </c>
      <c r="G106" s="935">
        <f t="shared" si="2"/>
        <v>841968.30939791142</v>
      </c>
      <c r="H106" s="938">
        <f t="shared" si="3"/>
        <v>841968.30939791142</v>
      </c>
      <c r="I106" s="509">
        <f t="shared" si="4"/>
        <v>0</v>
      </c>
      <c r="J106" s="509"/>
      <c r="K106" s="640">
        <v>1028335</v>
      </c>
      <c r="L106" s="514"/>
      <c r="M106" s="640">
        <v>1028335</v>
      </c>
      <c r="N106" s="514"/>
      <c r="O106" s="514"/>
    </row>
    <row r="107" spans="1:15">
      <c r="C107" s="505">
        <f>IF(D94="","-",+C106+1)</f>
        <v>2016</v>
      </c>
      <c r="D107" s="469">
        <f t="shared" si="1"/>
        <v>4665620.3392857118</v>
      </c>
      <c r="E107" s="511">
        <f t="shared" si="5"/>
        <v>132358.02380952382</v>
      </c>
      <c r="F107" s="469">
        <f t="shared" si="0"/>
        <v>4533262.3154761875</v>
      </c>
      <c r="G107" s="935">
        <f t="shared" si="2"/>
        <v>822119.07064019411</v>
      </c>
      <c r="H107" s="938">
        <f t="shared" si="3"/>
        <v>822119.07064019411</v>
      </c>
      <c r="I107" s="509">
        <f t="shared" si="4"/>
        <v>0</v>
      </c>
      <c r="J107" s="509"/>
      <c r="K107" s="640">
        <v>989594</v>
      </c>
      <c r="L107" s="514"/>
      <c r="M107" s="640">
        <v>989594</v>
      </c>
      <c r="N107" s="514"/>
      <c r="O107" s="514"/>
    </row>
    <row r="108" spans="1:15">
      <c r="C108" s="505">
        <f>IF(D94="","-",+C107+1)</f>
        <v>2017</v>
      </c>
      <c r="D108" s="469">
        <f t="shared" si="1"/>
        <v>4533262.3154761875</v>
      </c>
      <c r="E108" s="511">
        <f t="shared" si="5"/>
        <v>132358.02380952382</v>
      </c>
      <c r="F108" s="469">
        <f t="shared" si="0"/>
        <v>4400904.2916666633</v>
      </c>
      <c r="G108" s="935">
        <f t="shared" si="2"/>
        <v>802269.83188247692</v>
      </c>
      <c r="H108" s="938">
        <f t="shared" si="3"/>
        <v>802269.83188247692</v>
      </c>
      <c r="I108" s="509">
        <f t="shared" si="4"/>
        <v>0</v>
      </c>
      <c r="J108" s="509"/>
      <c r="K108" s="640">
        <v>996311</v>
      </c>
      <c r="L108" s="514"/>
      <c r="M108" s="640">
        <v>996311</v>
      </c>
      <c r="N108" s="514"/>
      <c r="O108" s="514"/>
    </row>
    <row r="109" spans="1:15">
      <c r="C109" s="940">
        <f>IF(D94="","-",+C108+1)</f>
        <v>2018</v>
      </c>
      <c r="D109" s="941">
        <f t="shared" si="1"/>
        <v>4400904.2916666633</v>
      </c>
      <c r="E109" s="942">
        <f t="shared" si="5"/>
        <v>132358.02380952382</v>
      </c>
      <c r="F109" s="941">
        <f t="shared" si="0"/>
        <v>4268546.267857139</v>
      </c>
      <c r="G109" s="943">
        <f t="shared" si="2"/>
        <v>782420.59312475973</v>
      </c>
      <c r="H109" s="944">
        <f t="shared" si="3"/>
        <v>782420.59312475973</v>
      </c>
      <c r="I109" s="945">
        <f t="shared" si="4"/>
        <v>0</v>
      </c>
      <c r="J109" s="509"/>
      <c r="K109" s="640"/>
      <c r="L109" s="514"/>
      <c r="M109" s="640"/>
      <c r="N109" s="514"/>
      <c r="O109" s="514"/>
    </row>
    <row r="110" spans="1:15">
      <c r="C110" s="505">
        <f>IF(D94="","-",+C109+1)</f>
        <v>2019</v>
      </c>
      <c r="D110" s="469">
        <f t="shared" si="1"/>
        <v>4268546.267857139</v>
      </c>
      <c r="E110" s="511">
        <f t="shared" si="5"/>
        <v>132358.02380952382</v>
      </c>
      <c r="F110" s="469">
        <f t="shared" si="0"/>
        <v>4136188.2440476152</v>
      </c>
      <c r="G110" s="935">
        <f t="shared" si="2"/>
        <v>762571.35436704254</v>
      </c>
      <c r="H110" s="938">
        <f t="shared" si="3"/>
        <v>762571.35436704254</v>
      </c>
      <c r="I110" s="509">
        <f t="shared" si="4"/>
        <v>0</v>
      </c>
      <c r="J110" s="509"/>
      <c r="K110" s="640"/>
      <c r="L110" s="514"/>
      <c r="M110" s="640"/>
      <c r="N110" s="514"/>
      <c r="O110" s="514"/>
    </row>
    <row r="111" spans="1:15">
      <c r="C111" s="505">
        <f>IF(D94="","-",+C110+1)</f>
        <v>2020</v>
      </c>
      <c r="D111" s="469">
        <f t="shared" si="1"/>
        <v>4136188.2440476152</v>
      </c>
      <c r="E111" s="511">
        <f t="shared" si="5"/>
        <v>132358.02380952382</v>
      </c>
      <c r="F111" s="469">
        <f t="shared" si="0"/>
        <v>4003830.2202380914</v>
      </c>
      <c r="G111" s="935">
        <f t="shared" si="2"/>
        <v>742722.11560932547</v>
      </c>
      <c r="H111" s="938">
        <f t="shared" si="3"/>
        <v>742722.11560932547</v>
      </c>
      <c r="I111" s="509">
        <f t="shared" si="4"/>
        <v>0</v>
      </c>
      <c r="J111" s="509"/>
      <c r="K111" s="640"/>
      <c r="L111" s="514"/>
      <c r="M111" s="640"/>
      <c r="N111" s="514"/>
      <c r="O111" s="514"/>
    </row>
    <row r="112" spans="1:15">
      <c r="C112" s="505">
        <f>IF(D94="","-",+C111+1)</f>
        <v>2021</v>
      </c>
      <c r="D112" s="469">
        <f t="shared" si="1"/>
        <v>4003830.2202380914</v>
      </c>
      <c r="E112" s="511">
        <f t="shared" si="5"/>
        <v>132358.02380952382</v>
      </c>
      <c r="F112" s="469">
        <f t="shared" si="0"/>
        <v>3871472.1964285676</v>
      </c>
      <c r="G112" s="935">
        <f t="shared" si="2"/>
        <v>722872.87685160828</v>
      </c>
      <c r="H112" s="938">
        <f t="shared" si="3"/>
        <v>722872.87685160828</v>
      </c>
      <c r="I112" s="509">
        <f t="shared" si="4"/>
        <v>0</v>
      </c>
      <c r="J112" s="509"/>
      <c r="K112" s="640"/>
      <c r="L112" s="514"/>
      <c r="M112" s="640"/>
      <c r="N112" s="514"/>
      <c r="O112" s="514"/>
    </row>
    <row r="113" spans="3:15">
      <c r="C113" s="505">
        <f>IF(D94="","-",+C112+1)</f>
        <v>2022</v>
      </c>
      <c r="D113" s="469">
        <f t="shared" si="1"/>
        <v>3871472.1964285676</v>
      </c>
      <c r="E113" s="511">
        <f t="shared" si="5"/>
        <v>132358.02380952382</v>
      </c>
      <c r="F113" s="469">
        <f t="shared" si="0"/>
        <v>3739114.1726190438</v>
      </c>
      <c r="G113" s="935">
        <f t="shared" si="2"/>
        <v>703023.6380938912</v>
      </c>
      <c r="H113" s="938">
        <f t="shared" si="3"/>
        <v>703023.6380938912</v>
      </c>
      <c r="I113" s="509">
        <f t="shared" si="4"/>
        <v>0</v>
      </c>
      <c r="J113" s="509"/>
      <c r="K113" s="640"/>
      <c r="L113" s="514"/>
      <c r="M113" s="640"/>
      <c r="N113" s="514"/>
      <c r="O113" s="514"/>
    </row>
    <row r="114" spans="3:15">
      <c r="C114" s="505">
        <f>IF(D94="","-",+C113+1)</f>
        <v>2023</v>
      </c>
      <c r="D114" s="469">
        <f t="shared" si="1"/>
        <v>3739114.1726190438</v>
      </c>
      <c r="E114" s="511">
        <f t="shared" si="5"/>
        <v>132358.02380952382</v>
      </c>
      <c r="F114" s="469">
        <f t="shared" si="0"/>
        <v>3606756.1488095201</v>
      </c>
      <c r="G114" s="935">
        <f t="shared" si="2"/>
        <v>683174.39933617401</v>
      </c>
      <c r="H114" s="938">
        <f t="shared" si="3"/>
        <v>683174.39933617401</v>
      </c>
      <c r="I114" s="509">
        <f t="shared" si="4"/>
        <v>0</v>
      </c>
      <c r="J114" s="509"/>
      <c r="K114" s="640"/>
      <c r="L114" s="514"/>
      <c r="M114" s="640"/>
      <c r="N114" s="514"/>
      <c r="O114" s="514"/>
    </row>
    <row r="115" spans="3:15">
      <c r="C115" s="505">
        <f>IF(D94="","-",+C114+1)</f>
        <v>2024</v>
      </c>
      <c r="D115" s="469">
        <f t="shared" si="1"/>
        <v>3606756.1488095201</v>
      </c>
      <c r="E115" s="511">
        <f t="shared" si="5"/>
        <v>132358.02380952382</v>
      </c>
      <c r="F115" s="469">
        <f t="shared" si="0"/>
        <v>3474398.1249999963</v>
      </c>
      <c r="G115" s="935">
        <f t="shared" si="2"/>
        <v>663325.16057845694</v>
      </c>
      <c r="H115" s="938">
        <f t="shared" si="3"/>
        <v>663325.16057845694</v>
      </c>
      <c r="I115" s="509">
        <f t="shared" si="4"/>
        <v>0</v>
      </c>
      <c r="J115" s="509"/>
      <c r="K115" s="640"/>
      <c r="L115" s="514"/>
      <c r="M115" s="640"/>
      <c r="N115" s="514"/>
      <c r="O115" s="514"/>
    </row>
    <row r="116" spans="3:15">
      <c r="C116" s="505">
        <f>IF(D94="","-",+C115+1)</f>
        <v>2025</v>
      </c>
      <c r="D116" s="469">
        <f t="shared" si="1"/>
        <v>3474398.1249999963</v>
      </c>
      <c r="E116" s="511">
        <f t="shared" si="5"/>
        <v>132358.02380952382</v>
      </c>
      <c r="F116" s="469">
        <f t="shared" si="0"/>
        <v>3342040.1011904725</v>
      </c>
      <c r="G116" s="935">
        <f t="shared" si="2"/>
        <v>643475.92182073975</v>
      </c>
      <c r="H116" s="938">
        <f t="shared" si="3"/>
        <v>643475.92182073975</v>
      </c>
      <c r="I116" s="509">
        <f t="shared" si="4"/>
        <v>0</v>
      </c>
      <c r="J116" s="509"/>
      <c r="K116" s="640"/>
      <c r="L116" s="514"/>
      <c r="M116" s="640"/>
      <c r="N116" s="514"/>
      <c r="O116" s="514"/>
    </row>
    <row r="117" spans="3:15">
      <c r="C117" s="505">
        <f>IF(D94="","-",+C116+1)</f>
        <v>2026</v>
      </c>
      <c r="D117" s="469">
        <f t="shared" si="1"/>
        <v>3342040.1011904725</v>
      </c>
      <c r="E117" s="511">
        <f t="shared" si="5"/>
        <v>132358.02380952382</v>
      </c>
      <c r="F117" s="469">
        <f t="shared" si="0"/>
        <v>3209682.0773809487</v>
      </c>
      <c r="G117" s="935">
        <f t="shared" si="2"/>
        <v>623626.68306302268</v>
      </c>
      <c r="H117" s="938">
        <f t="shared" si="3"/>
        <v>623626.68306302268</v>
      </c>
      <c r="I117" s="509">
        <f t="shared" si="4"/>
        <v>0</v>
      </c>
      <c r="J117" s="509"/>
      <c r="K117" s="640"/>
      <c r="L117" s="514"/>
      <c r="M117" s="640"/>
      <c r="N117" s="514"/>
      <c r="O117" s="514"/>
    </row>
    <row r="118" spans="3:15">
      <c r="C118" s="505">
        <f>IF(D94="","-",+C117+1)</f>
        <v>2027</v>
      </c>
      <c r="D118" s="469">
        <f t="shared" si="1"/>
        <v>3209682.0773809487</v>
      </c>
      <c r="E118" s="511">
        <f t="shared" si="5"/>
        <v>132358.02380952382</v>
      </c>
      <c r="F118" s="469">
        <f t="shared" si="0"/>
        <v>3077324.0535714249</v>
      </c>
      <c r="G118" s="935">
        <f t="shared" si="2"/>
        <v>603777.44430530549</v>
      </c>
      <c r="H118" s="938">
        <f t="shared" si="3"/>
        <v>603777.44430530549</v>
      </c>
      <c r="I118" s="509">
        <f t="shared" si="4"/>
        <v>0</v>
      </c>
      <c r="J118" s="509"/>
      <c r="K118" s="640"/>
      <c r="L118" s="514"/>
      <c r="M118" s="640"/>
      <c r="N118" s="514"/>
      <c r="O118" s="514"/>
    </row>
    <row r="119" spans="3:15">
      <c r="C119" s="505">
        <f>IF(D94="","-",+C118+1)</f>
        <v>2028</v>
      </c>
      <c r="D119" s="469">
        <f t="shared" si="1"/>
        <v>3077324.0535714249</v>
      </c>
      <c r="E119" s="511">
        <f t="shared" si="5"/>
        <v>132358.02380952382</v>
      </c>
      <c r="F119" s="469">
        <f t="shared" si="0"/>
        <v>2944966.0297619011</v>
      </c>
      <c r="G119" s="935">
        <f t="shared" si="2"/>
        <v>583928.20554758841</v>
      </c>
      <c r="H119" s="938">
        <f t="shared" si="3"/>
        <v>583928.20554758841</v>
      </c>
      <c r="I119" s="509">
        <f t="shared" si="4"/>
        <v>0</v>
      </c>
      <c r="J119" s="509"/>
      <c r="K119" s="640"/>
      <c r="L119" s="514"/>
      <c r="M119" s="640"/>
      <c r="N119" s="514"/>
      <c r="O119" s="514"/>
    </row>
    <row r="120" spans="3:15">
      <c r="C120" s="505">
        <f>IF(D94="","-",+C119+1)</f>
        <v>2029</v>
      </c>
      <c r="D120" s="469">
        <f t="shared" si="1"/>
        <v>2944966.0297619011</v>
      </c>
      <c r="E120" s="511">
        <f t="shared" si="5"/>
        <v>132358.02380952382</v>
      </c>
      <c r="F120" s="469">
        <f t="shared" si="0"/>
        <v>2812608.0059523773</v>
      </c>
      <c r="G120" s="935">
        <f t="shared" si="2"/>
        <v>564078.9667898711</v>
      </c>
      <c r="H120" s="938">
        <f t="shared" si="3"/>
        <v>564078.9667898711</v>
      </c>
      <c r="I120" s="509">
        <f t="shared" si="4"/>
        <v>0</v>
      </c>
      <c r="J120" s="509"/>
      <c r="K120" s="640"/>
      <c r="L120" s="514"/>
      <c r="M120" s="640"/>
      <c r="N120" s="514"/>
      <c r="O120" s="514"/>
    </row>
    <row r="121" spans="3:15">
      <c r="C121" s="505">
        <f>IF(D94="","-",+C120+1)</f>
        <v>2030</v>
      </c>
      <c r="D121" s="469">
        <f t="shared" si="1"/>
        <v>2812608.0059523773</v>
      </c>
      <c r="E121" s="511">
        <f t="shared" si="5"/>
        <v>132358.02380952382</v>
      </c>
      <c r="F121" s="469">
        <f t="shared" si="0"/>
        <v>2680249.9821428536</v>
      </c>
      <c r="G121" s="935">
        <f t="shared" si="2"/>
        <v>544229.72803215403</v>
      </c>
      <c r="H121" s="938">
        <f t="shared" si="3"/>
        <v>544229.72803215403</v>
      </c>
      <c r="I121" s="509">
        <f t="shared" si="4"/>
        <v>0</v>
      </c>
      <c r="J121" s="509"/>
      <c r="K121" s="640"/>
      <c r="L121" s="514"/>
      <c r="M121" s="640"/>
      <c r="N121" s="514"/>
      <c r="O121" s="514"/>
    </row>
    <row r="122" spans="3:15">
      <c r="C122" s="505">
        <f>IF(D94="","-",+C121+1)</f>
        <v>2031</v>
      </c>
      <c r="D122" s="469">
        <f t="shared" si="1"/>
        <v>2680249.9821428536</v>
      </c>
      <c r="E122" s="511">
        <f t="shared" si="5"/>
        <v>132358.02380952382</v>
      </c>
      <c r="F122" s="469">
        <f t="shared" si="0"/>
        <v>2547891.9583333298</v>
      </c>
      <c r="G122" s="935">
        <f t="shared" si="2"/>
        <v>524380.48927443684</v>
      </c>
      <c r="H122" s="938">
        <f t="shared" si="3"/>
        <v>524380.48927443684</v>
      </c>
      <c r="I122" s="509">
        <f t="shared" si="4"/>
        <v>0</v>
      </c>
      <c r="J122" s="509"/>
      <c r="K122" s="640"/>
      <c r="L122" s="514"/>
      <c r="M122" s="640"/>
      <c r="N122" s="514"/>
      <c r="O122" s="514"/>
    </row>
    <row r="123" spans="3:15">
      <c r="C123" s="505">
        <f>IF(D94="","-",+C122+1)</f>
        <v>2032</v>
      </c>
      <c r="D123" s="469">
        <f t="shared" si="1"/>
        <v>2547891.9583333298</v>
      </c>
      <c r="E123" s="511">
        <f t="shared" si="5"/>
        <v>132358.02380952382</v>
      </c>
      <c r="F123" s="469">
        <f t="shared" si="0"/>
        <v>2415533.934523806</v>
      </c>
      <c r="G123" s="935">
        <f t="shared" si="2"/>
        <v>504531.25051671977</v>
      </c>
      <c r="H123" s="938">
        <f t="shared" si="3"/>
        <v>504531.25051671977</v>
      </c>
      <c r="I123" s="509">
        <f t="shared" si="4"/>
        <v>0</v>
      </c>
      <c r="J123" s="509"/>
      <c r="K123" s="640"/>
      <c r="L123" s="514"/>
      <c r="M123" s="640"/>
      <c r="N123" s="514"/>
      <c r="O123" s="514"/>
    </row>
    <row r="124" spans="3:15">
      <c r="C124" s="505">
        <f>IF(D94="","-",+C123+1)</f>
        <v>2033</v>
      </c>
      <c r="D124" s="469">
        <f t="shared" si="1"/>
        <v>2415533.934523806</v>
      </c>
      <c r="E124" s="511">
        <f t="shared" si="5"/>
        <v>132358.02380952382</v>
      </c>
      <c r="F124" s="469">
        <f t="shared" si="0"/>
        <v>2283175.9107142822</v>
      </c>
      <c r="G124" s="935">
        <f t="shared" si="2"/>
        <v>484682.01175900258</v>
      </c>
      <c r="H124" s="938">
        <f t="shared" si="3"/>
        <v>484682.01175900258</v>
      </c>
      <c r="I124" s="509">
        <f t="shared" si="4"/>
        <v>0</v>
      </c>
      <c r="J124" s="509"/>
      <c r="K124" s="640"/>
      <c r="L124" s="514"/>
      <c r="M124" s="640"/>
      <c r="N124" s="514"/>
      <c r="O124" s="514"/>
    </row>
    <row r="125" spans="3:15">
      <c r="C125" s="505">
        <f>IF(D94="","-",+C124+1)</f>
        <v>2034</v>
      </c>
      <c r="D125" s="469">
        <f t="shared" si="1"/>
        <v>2283175.9107142822</v>
      </c>
      <c r="E125" s="511">
        <f t="shared" si="5"/>
        <v>132358.02380952382</v>
      </c>
      <c r="F125" s="469">
        <f t="shared" si="0"/>
        <v>2150817.8869047584</v>
      </c>
      <c r="G125" s="935">
        <f t="shared" si="2"/>
        <v>464832.7730012855</v>
      </c>
      <c r="H125" s="938">
        <f t="shared" si="3"/>
        <v>464832.7730012855</v>
      </c>
      <c r="I125" s="509">
        <f t="shared" si="4"/>
        <v>0</v>
      </c>
      <c r="J125" s="509"/>
      <c r="K125" s="640"/>
      <c r="L125" s="514"/>
      <c r="M125" s="640"/>
      <c r="N125" s="514"/>
      <c r="O125" s="514"/>
    </row>
    <row r="126" spans="3:15">
      <c r="C126" s="505">
        <f>IF(D94="","-",+C125+1)</f>
        <v>2035</v>
      </c>
      <c r="D126" s="469">
        <f t="shared" si="1"/>
        <v>2150817.8869047584</v>
      </c>
      <c r="E126" s="511">
        <f t="shared" si="5"/>
        <v>132358.02380952382</v>
      </c>
      <c r="F126" s="469">
        <f t="shared" si="0"/>
        <v>2018459.8630952346</v>
      </c>
      <c r="G126" s="935">
        <f t="shared" si="2"/>
        <v>444983.53424356831</v>
      </c>
      <c r="H126" s="938">
        <f t="shared" si="3"/>
        <v>444983.53424356831</v>
      </c>
      <c r="I126" s="509">
        <f t="shared" si="4"/>
        <v>0</v>
      </c>
      <c r="J126" s="509"/>
      <c r="K126" s="640"/>
      <c r="L126" s="514"/>
      <c r="M126" s="640"/>
      <c r="N126" s="514"/>
      <c r="O126" s="514"/>
    </row>
    <row r="127" spans="3:15">
      <c r="C127" s="505">
        <f>IF(D94="","-",+C126+1)</f>
        <v>2036</v>
      </c>
      <c r="D127" s="469">
        <f t="shared" si="1"/>
        <v>2018459.8630952346</v>
      </c>
      <c r="E127" s="511">
        <f t="shared" si="5"/>
        <v>132358.02380952382</v>
      </c>
      <c r="F127" s="469">
        <f t="shared" si="0"/>
        <v>1886101.8392857108</v>
      </c>
      <c r="G127" s="935">
        <f t="shared" si="2"/>
        <v>425134.29548585124</v>
      </c>
      <c r="H127" s="938">
        <f t="shared" si="3"/>
        <v>425134.29548585124</v>
      </c>
      <c r="I127" s="509">
        <f t="shared" si="4"/>
        <v>0</v>
      </c>
      <c r="J127" s="509"/>
      <c r="K127" s="640"/>
      <c r="L127" s="514"/>
      <c r="M127" s="640"/>
      <c r="N127" s="514"/>
      <c r="O127" s="514"/>
    </row>
    <row r="128" spans="3:15">
      <c r="C128" s="505">
        <f>IF(D94="","-",+C127+1)</f>
        <v>2037</v>
      </c>
      <c r="D128" s="469">
        <f t="shared" si="1"/>
        <v>1886101.8392857108</v>
      </c>
      <c r="E128" s="511">
        <f t="shared" si="5"/>
        <v>132358.02380952382</v>
      </c>
      <c r="F128" s="469">
        <f t="shared" si="0"/>
        <v>1753743.815476187</v>
      </c>
      <c r="G128" s="936">
        <f t="shared" si="2"/>
        <v>405285.05672813405</v>
      </c>
      <c r="H128" s="938">
        <f t="shared" si="3"/>
        <v>405285.05672813405</v>
      </c>
      <c r="I128" s="509">
        <f t="shared" si="4"/>
        <v>0</v>
      </c>
      <c r="J128" s="509"/>
      <c r="K128" s="640"/>
      <c r="L128" s="514"/>
      <c r="M128" s="640"/>
      <c r="N128" s="514"/>
      <c r="O128" s="514"/>
    </row>
    <row r="129" spans="3:15">
      <c r="C129" s="505">
        <f>IF(D94="","-",+C128+1)</f>
        <v>2038</v>
      </c>
      <c r="D129" s="469">
        <f t="shared" si="1"/>
        <v>1753743.815476187</v>
      </c>
      <c r="E129" s="511">
        <f t="shared" si="5"/>
        <v>132358.02380952382</v>
      </c>
      <c r="F129" s="469">
        <f t="shared" si="0"/>
        <v>1621385.7916666633</v>
      </c>
      <c r="G129" s="935">
        <f t="shared" si="2"/>
        <v>385435.81797041692</v>
      </c>
      <c r="H129" s="938">
        <f t="shared" si="3"/>
        <v>385435.81797041692</v>
      </c>
      <c r="I129" s="509">
        <f t="shared" si="4"/>
        <v>0</v>
      </c>
      <c r="J129" s="509"/>
      <c r="K129" s="640"/>
      <c r="L129" s="514"/>
      <c r="M129" s="640"/>
      <c r="N129" s="514"/>
      <c r="O129" s="514"/>
    </row>
    <row r="130" spans="3:15">
      <c r="C130" s="505">
        <f>IF(D94="","-",+C129+1)</f>
        <v>2039</v>
      </c>
      <c r="D130" s="469">
        <f t="shared" si="1"/>
        <v>1621385.7916666633</v>
      </c>
      <c r="E130" s="511">
        <f t="shared" si="5"/>
        <v>132358.02380952382</v>
      </c>
      <c r="F130" s="469">
        <f t="shared" si="0"/>
        <v>1489027.7678571395</v>
      </c>
      <c r="G130" s="935">
        <f t="shared" si="2"/>
        <v>365586.57921269978</v>
      </c>
      <c r="H130" s="938">
        <f t="shared" si="3"/>
        <v>365586.57921269978</v>
      </c>
      <c r="I130" s="509">
        <f t="shared" si="4"/>
        <v>0</v>
      </c>
      <c r="J130" s="509"/>
      <c r="K130" s="640"/>
      <c r="L130" s="514"/>
      <c r="M130" s="640"/>
      <c r="N130" s="514"/>
      <c r="O130" s="514"/>
    </row>
    <row r="131" spans="3:15">
      <c r="C131" s="505">
        <f>IF(D94="","-",+C130+1)</f>
        <v>2040</v>
      </c>
      <c r="D131" s="469">
        <f t="shared" si="1"/>
        <v>1489027.7678571395</v>
      </c>
      <c r="E131" s="511">
        <f t="shared" si="5"/>
        <v>132358.02380952382</v>
      </c>
      <c r="F131" s="469">
        <f t="shared" si="0"/>
        <v>1356669.7440476157</v>
      </c>
      <c r="G131" s="935">
        <f t="shared" si="2"/>
        <v>345737.34045498259</v>
      </c>
      <c r="H131" s="938">
        <f t="shared" si="3"/>
        <v>345737.34045498259</v>
      </c>
      <c r="I131" s="509">
        <f t="shared" si="4"/>
        <v>0</v>
      </c>
      <c r="J131" s="509"/>
      <c r="K131" s="640"/>
      <c r="L131" s="514"/>
      <c r="M131" s="640"/>
      <c r="N131" s="514"/>
      <c r="O131" s="514"/>
    </row>
    <row r="132" spans="3:15">
      <c r="C132" s="505">
        <f>IF(D94="","-",+C131+1)</f>
        <v>2041</v>
      </c>
      <c r="D132" s="469">
        <f t="shared" si="1"/>
        <v>1356669.7440476157</v>
      </c>
      <c r="E132" s="511">
        <f t="shared" si="5"/>
        <v>132358.02380952382</v>
      </c>
      <c r="F132" s="469">
        <f t="shared" si="0"/>
        <v>1224311.7202380919</v>
      </c>
      <c r="G132" s="935">
        <f t="shared" si="2"/>
        <v>325888.10169726552</v>
      </c>
      <c r="H132" s="938">
        <f t="shared" si="3"/>
        <v>325888.10169726552</v>
      </c>
      <c r="I132" s="509">
        <f t="shared" si="4"/>
        <v>0</v>
      </c>
      <c r="J132" s="509"/>
      <c r="K132" s="640"/>
      <c r="L132" s="514"/>
      <c r="M132" s="640"/>
      <c r="N132" s="514"/>
      <c r="O132" s="514"/>
    </row>
    <row r="133" spans="3:15">
      <c r="C133" s="505">
        <f>IF(D94="","-",+C132+1)</f>
        <v>2042</v>
      </c>
      <c r="D133" s="469">
        <f t="shared" si="1"/>
        <v>1224311.7202380919</v>
      </c>
      <c r="E133" s="511">
        <f t="shared" si="5"/>
        <v>132358.02380952382</v>
      </c>
      <c r="F133" s="469">
        <f t="shared" si="0"/>
        <v>1091953.6964285681</v>
      </c>
      <c r="G133" s="935">
        <f t="shared" si="2"/>
        <v>306038.86293954833</v>
      </c>
      <c r="H133" s="938">
        <f t="shared" si="3"/>
        <v>306038.86293954833</v>
      </c>
      <c r="I133" s="509">
        <f t="shared" si="4"/>
        <v>0</v>
      </c>
      <c r="J133" s="509"/>
      <c r="K133" s="640"/>
      <c r="L133" s="514"/>
      <c r="M133" s="640"/>
      <c r="N133" s="514"/>
      <c r="O133" s="514"/>
    </row>
    <row r="134" spans="3:15">
      <c r="C134" s="505">
        <f>IF(D94="","-",+C133+1)</f>
        <v>2043</v>
      </c>
      <c r="D134" s="469">
        <f t="shared" si="1"/>
        <v>1091953.6964285681</v>
      </c>
      <c r="E134" s="511">
        <f t="shared" si="5"/>
        <v>132358.02380952382</v>
      </c>
      <c r="F134" s="469">
        <f t="shared" si="0"/>
        <v>959595.67261904432</v>
      </c>
      <c r="G134" s="935">
        <f t="shared" si="2"/>
        <v>286189.6241818312</v>
      </c>
      <c r="H134" s="938">
        <f t="shared" si="3"/>
        <v>286189.6241818312</v>
      </c>
      <c r="I134" s="509">
        <f t="shared" si="4"/>
        <v>0</v>
      </c>
      <c r="J134" s="509"/>
      <c r="K134" s="640"/>
      <c r="L134" s="514"/>
      <c r="M134" s="640"/>
      <c r="N134" s="514"/>
      <c r="O134" s="514"/>
    </row>
    <row r="135" spans="3:15">
      <c r="C135" s="505">
        <f>IF(D94="","-",+C134+1)</f>
        <v>2044</v>
      </c>
      <c r="D135" s="469">
        <f t="shared" si="1"/>
        <v>959595.67261904432</v>
      </c>
      <c r="E135" s="511">
        <f t="shared" si="5"/>
        <v>132358.02380952382</v>
      </c>
      <c r="F135" s="469">
        <f t="shared" si="0"/>
        <v>827237.64880952053</v>
      </c>
      <c r="G135" s="935">
        <f t="shared" si="2"/>
        <v>266340.38542411407</v>
      </c>
      <c r="H135" s="938">
        <f t="shared" si="3"/>
        <v>266340.38542411407</v>
      </c>
      <c r="I135" s="509">
        <f t="shared" si="4"/>
        <v>0</v>
      </c>
      <c r="J135" s="509"/>
      <c r="K135" s="640"/>
      <c r="L135" s="514"/>
      <c r="M135" s="640"/>
      <c r="N135" s="514"/>
      <c r="O135" s="514"/>
    </row>
    <row r="136" spans="3:15">
      <c r="C136" s="505">
        <f>IF(D94="","-",+C135+1)</f>
        <v>2045</v>
      </c>
      <c r="D136" s="469">
        <f t="shared" si="1"/>
        <v>827237.64880952053</v>
      </c>
      <c r="E136" s="511">
        <f t="shared" si="5"/>
        <v>132358.02380952382</v>
      </c>
      <c r="F136" s="469">
        <f t="shared" si="0"/>
        <v>694879.62499999674</v>
      </c>
      <c r="G136" s="935">
        <f t="shared" si="2"/>
        <v>246491.1466663969</v>
      </c>
      <c r="H136" s="938">
        <f t="shared" si="3"/>
        <v>246491.1466663969</v>
      </c>
      <c r="I136" s="509">
        <f t="shared" si="4"/>
        <v>0</v>
      </c>
      <c r="J136" s="509"/>
      <c r="K136" s="640"/>
      <c r="L136" s="514"/>
      <c r="M136" s="640"/>
      <c r="N136" s="514"/>
      <c r="O136" s="514"/>
    </row>
    <row r="137" spans="3:15">
      <c r="C137" s="505">
        <f>IF(D94="","-",+C136+1)</f>
        <v>2046</v>
      </c>
      <c r="D137" s="469">
        <f t="shared" si="1"/>
        <v>694879.62499999674</v>
      </c>
      <c r="E137" s="511">
        <f t="shared" si="5"/>
        <v>132358.02380952382</v>
      </c>
      <c r="F137" s="469">
        <f t="shared" si="0"/>
        <v>562521.60119047295</v>
      </c>
      <c r="G137" s="935">
        <f t="shared" si="2"/>
        <v>226641.90790867977</v>
      </c>
      <c r="H137" s="938">
        <f t="shared" si="3"/>
        <v>226641.90790867977</v>
      </c>
      <c r="I137" s="509">
        <f t="shared" si="4"/>
        <v>0</v>
      </c>
      <c r="J137" s="509"/>
      <c r="K137" s="640"/>
      <c r="L137" s="514"/>
      <c r="M137" s="640"/>
      <c r="N137" s="514"/>
      <c r="O137" s="514"/>
    </row>
    <row r="138" spans="3:15">
      <c r="C138" s="505">
        <f>IF(D94="","-",+C137+1)</f>
        <v>2047</v>
      </c>
      <c r="D138" s="469">
        <f t="shared" si="1"/>
        <v>562521.60119047295</v>
      </c>
      <c r="E138" s="511">
        <f t="shared" si="5"/>
        <v>132358.02380952382</v>
      </c>
      <c r="F138" s="469">
        <f t="shared" si="0"/>
        <v>430163.57738094917</v>
      </c>
      <c r="G138" s="935">
        <f t="shared" si="2"/>
        <v>206792.66915096261</v>
      </c>
      <c r="H138" s="938">
        <f t="shared" si="3"/>
        <v>206792.66915096261</v>
      </c>
      <c r="I138" s="509">
        <f t="shared" si="4"/>
        <v>0</v>
      </c>
      <c r="J138" s="509"/>
      <c r="K138" s="640"/>
      <c r="L138" s="514"/>
      <c r="M138" s="640"/>
      <c r="N138" s="514"/>
      <c r="O138" s="514"/>
    </row>
    <row r="139" spans="3:15">
      <c r="C139" s="505">
        <f>IF(D94="","-",+C138+1)</f>
        <v>2048</v>
      </c>
      <c r="D139" s="469">
        <f t="shared" si="1"/>
        <v>430163.57738094917</v>
      </c>
      <c r="E139" s="511">
        <f t="shared" si="5"/>
        <v>132358.02380952382</v>
      </c>
      <c r="F139" s="469">
        <f t="shared" si="0"/>
        <v>297805.55357142538</v>
      </c>
      <c r="G139" s="935">
        <f t="shared" si="2"/>
        <v>186943.43039324548</v>
      </c>
      <c r="H139" s="938">
        <f t="shared" si="3"/>
        <v>186943.43039324548</v>
      </c>
      <c r="I139" s="509">
        <f t="shared" si="4"/>
        <v>0</v>
      </c>
      <c r="J139" s="509"/>
      <c r="K139" s="640"/>
      <c r="L139" s="514"/>
      <c r="M139" s="640"/>
      <c r="N139" s="514"/>
      <c r="O139" s="514"/>
    </row>
    <row r="140" spans="3:15">
      <c r="C140" s="505">
        <f>IF(D94="","-",+C139+1)</f>
        <v>2049</v>
      </c>
      <c r="D140" s="469">
        <f t="shared" si="1"/>
        <v>297805.55357142538</v>
      </c>
      <c r="E140" s="511">
        <f t="shared" si="5"/>
        <v>132358.02380952382</v>
      </c>
      <c r="F140" s="469">
        <f t="shared" si="0"/>
        <v>165447.52976190156</v>
      </c>
      <c r="G140" s="935">
        <f t="shared" si="2"/>
        <v>167094.19163552835</v>
      </c>
      <c r="H140" s="938">
        <f t="shared" si="3"/>
        <v>167094.19163552835</v>
      </c>
      <c r="I140" s="509">
        <f t="shared" si="4"/>
        <v>0</v>
      </c>
      <c r="J140" s="509"/>
      <c r="K140" s="640"/>
      <c r="L140" s="514"/>
      <c r="M140" s="640"/>
      <c r="N140" s="514"/>
      <c r="O140" s="514"/>
    </row>
    <row r="141" spans="3:15">
      <c r="C141" s="505">
        <f>IF(D94="","-",+C140+1)</f>
        <v>2050</v>
      </c>
      <c r="D141" s="469">
        <f t="shared" si="1"/>
        <v>165447.52976190156</v>
      </c>
      <c r="E141" s="511">
        <f t="shared" si="5"/>
        <v>132358.02380952382</v>
      </c>
      <c r="F141" s="469">
        <f t="shared" si="0"/>
        <v>33089.505952377745</v>
      </c>
      <c r="G141" s="935">
        <f t="shared" si="2"/>
        <v>147244.95287781119</v>
      </c>
      <c r="H141" s="938">
        <f t="shared" si="3"/>
        <v>147244.95287781119</v>
      </c>
      <c r="I141" s="509">
        <f t="shared" si="4"/>
        <v>0</v>
      </c>
      <c r="J141" s="509"/>
      <c r="K141" s="640"/>
      <c r="L141" s="514"/>
      <c r="M141" s="640"/>
      <c r="N141" s="514"/>
      <c r="O141" s="514"/>
    </row>
    <row r="142" spans="3:15">
      <c r="C142" s="505">
        <f>IF(D94="","-",+C141+1)</f>
        <v>2051</v>
      </c>
      <c r="D142" s="469">
        <f t="shared" si="1"/>
        <v>33089.505952377745</v>
      </c>
      <c r="E142" s="511">
        <f t="shared" si="5"/>
        <v>33089.505952377745</v>
      </c>
      <c r="F142" s="469">
        <f t="shared" si="0"/>
        <v>0</v>
      </c>
      <c r="G142" s="935">
        <f t="shared" si="2"/>
        <v>35570.660797092147</v>
      </c>
      <c r="H142" s="938">
        <f t="shared" si="3"/>
        <v>35570.660797092147</v>
      </c>
      <c r="I142" s="509">
        <f t="shared" si="4"/>
        <v>0</v>
      </c>
      <c r="J142" s="509"/>
      <c r="K142" s="640"/>
      <c r="L142" s="514"/>
      <c r="M142" s="640"/>
      <c r="N142" s="514"/>
      <c r="O142" s="514"/>
    </row>
    <row r="143" spans="3:15">
      <c r="C143" s="505">
        <f>IF(D94="","-",+C142+1)</f>
        <v>2052</v>
      </c>
      <c r="D143" s="469">
        <f t="shared" si="1"/>
        <v>0</v>
      </c>
      <c r="E143" s="511">
        <f t="shared" si="5"/>
        <v>0</v>
      </c>
      <c r="F143" s="469">
        <f t="shared" si="0"/>
        <v>0</v>
      </c>
      <c r="G143" s="935">
        <f t="shared" si="2"/>
        <v>0</v>
      </c>
      <c r="H143" s="938">
        <f t="shared" si="3"/>
        <v>0</v>
      </c>
      <c r="I143" s="509">
        <f t="shared" si="4"/>
        <v>0</v>
      </c>
      <c r="J143" s="509"/>
      <c r="K143" s="640"/>
      <c r="L143" s="514"/>
      <c r="M143" s="640"/>
      <c r="N143" s="514"/>
      <c r="O143" s="514"/>
    </row>
    <row r="144" spans="3:15">
      <c r="C144" s="505">
        <f>IF(D94="","-",+C143+1)</f>
        <v>2053</v>
      </c>
      <c r="D144" s="469">
        <f t="shared" si="1"/>
        <v>0</v>
      </c>
      <c r="E144" s="511">
        <f t="shared" si="5"/>
        <v>0</v>
      </c>
      <c r="F144" s="469">
        <f t="shared" si="0"/>
        <v>0</v>
      </c>
      <c r="G144" s="935">
        <f t="shared" si="2"/>
        <v>0</v>
      </c>
      <c r="H144" s="938">
        <f t="shared" si="3"/>
        <v>0</v>
      </c>
      <c r="I144" s="509">
        <f t="shared" si="4"/>
        <v>0</v>
      </c>
      <c r="J144" s="509"/>
      <c r="K144" s="640"/>
      <c r="L144" s="514"/>
      <c r="M144" s="640"/>
      <c r="N144" s="514"/>
      <c r="O144" s="514"/>
    </row>
    <row r="145" spans="3:15">
      <c r="C145" s="505">
        <f>IF(D94="","-",+C144+1)</f>
        <v>2054</v>
      </c>
      <c r="D145" s="469">
        <f t="shared" si="1"/>
        <v>0</v>
      </c>
      <c r="E145" s="511">
        <f t="shared" si="5"/>
        <v>0</v>
      </c>
      <c r="F145" s="469">
        <f t="shared" si="0"/>
        <v>0</v>
      </c>
      <c r="G145" s="935">
        <f t="shared" si="2"/>
        <v>0</v>
      </c>
      <c r="H145" s="938">
        <f t="shared" si="3"/>
        <v>0</v>
      </c>
      <c r="I145" s="509">
        <f t="shared" si="4"/>
        <v>0</v>
      </c>
      <c r="J145" s="509"/>
      <c r="K145" s="640"/>
      <c r="L145" s="514"/>
      <c r="M145" s="640"/>
      <c r="N145" s="514"/>
      <c r="O145" s="514"/>
    </row>
    <row r="146" spans="3:15">
      <c r="C146" s="505">
        <f>IF(D94="","-",+C145+1)</f>
        <v>2055</v>
      </c>
      <c r="D146" s="469">
        <f t="shared" si="1"/>
        <v>0</v>
      </c>
      <c r="E146" s="511">
        <f t="shared" si="5"/>
        <v>0</v>
      </c>
      <c r="F146" s="469">
        <f t="shared" si="0"/>
        <v>0</v>
      </c>
      <c r="G146" s="935">
        <f t="shared" si="2"/>
        <v>0</v>
      </c>
      <c r="H146" s="938">
        <f t="shared" si="3"/>
        <v>0</v>
      </c>
      <c r="I146" s="509">
        <f t="shared" si="4"/>
        <v>0</v>
      </c>
      <c r="J146" s="509"/>
      <c r="K146" s="640"/>
      <c r="L146" s="514"/>
      <c r="M146" s="640"/>
      <c r="N146" s="514"/>
      <c r="O146" s="514"/>
    </row>
    <row r="147" spans="3:15">
      <c r="C147" s="505">
        <f>IF(D94="","-",+C146+1)</f>
        <v>2056</v>
      </c>
      <c r="D147" s="469">
        <f t="shared" si="1"/>
        <v>0</v>
      </c>
      <c r="E147" s="511">
        <f t="shared" si="5"/>
        <v>0</v>
      </c>
      <c r="F147" s="469">
        <f t="shared" si="0"/>
        <v>0</v>
      </c>
      <c r="G147" s="935" t="s">
        <v>114</v>
      </c>
      <c r="H147" s="938">
        <f t="shared" si="3"/>
        <v>0</v>
      </c>
      <c r="I147" s="509">
        <v>0</v>
      </c>
      <c r="J147" s="509"/>
      <c r="K147" s="640"/>
      <c r="L147" s="514"/>
      <c r="M147" s="640"/>
      <c r="N147" s="514"/>
      <c r="O147" s="514"/>
    </row>
    <row r="148" spans="3:15">
      <c r="C148" s="505">
        <f>IF(D94="","-",+C147+1)</f>
        <v>2057</v>
      </c>
      <c r="D148" s="469">
        <f t="shared" si="1"/>
        <v>0</v>
      </c>
      <c r="E148" s="511">
        <f t="shared" si="5"/>
        <v>0</v>
      </c>
      <c r="F148" s="469">
        <f t="shared" si="0"/>
        <v>0</v>
      </c>
      <c r="G148" s="935">
        <f t="shared" si="2"/>
        <v>0</v>
      </c>
      <c r="H148" s="938">
        <f t="shared" si="3"/>
        <v>0</v>
      </c>
      <c r="I148" s="509">
        <f t="shared" si="4"/>
        <v>0</v>
      </c>
      <c r="J148" s="509"/>
      <c r="K148" s="640"/>
      <c r="L148" s="514"/>
      <c r="M148" s="640"/>
      <c r="N148" s="514"/>
      <c r="O148" s="514"/>
    </row>
    <row r="149" spans="3:15">
      <c r="C149" s="505">
        <f>IF(D94="","-",+C148+1)</f>
        <v>2058</v>
      </c>
      <c r="D149" s="469">
        <f t="shared" si="1"/>
        <v>0</v>
      </c>
      <c r="E149" s="511">
        <f t="shared" si="5"/>
        <v>0</v>
      </c>
      <c r="F149" s="469">
        <f t="shared" si="0"/>
        <v>0</v>
      </c>
      <c r="G149" s="935">
        <f t="shared" si="2"/>
        <v>0</v>
      </c>
      <c r="H149" s="938">
        <f t="shared" si="3"/>
        <v>0</v>
      </c>
      <c r="I149" s="509">
        <f t="shared" si="4"/>
        <v>0</v>
      </c>
      <c r="J149" s="509"/>
      <c r="K149" s="640"/>
      <c r="L149" s="514"/>
      <c r="M149" s="640"/>
      <c r="N149" s="514"/>
      <c r="O149" s="514"/>
    </row>
    <row r="150" spans="3:15">
      <c r="C150" s="505">
        <f>IF(D94="","-",+C149+1)</f>
        <v>2059</v>
      </c>
      <c r="D150" s="469">
        <f t="shared" si="1"/>
        <v>0</v>
      </c>
      <c r="E150" s="511">
        <f t="shared" si="5"/>
        <v>0</v>
      </c>
      <c r="F150" s="469">
        <f t="shared" si="0"/>
        <v>0</v>
      </c>
      <c r="G150" s="935">
        <f t="shared" si="2"/>
        <v>0</v>
      </c>
      <c r="H150" s="938">
        <f t="shared" si="3"/>
        <v>0</v>
      </c>
      <c r="I150" s="509">
        <f t="shared" si="4"/>
        <v>0</v>
      </c>
      <c r="J150" s="509"/>
      <c r="K150" s="640"/>
      <c r="L150" s="514"/>
      <c r="M150" s="640"/>
      <c r="N150" s="514"/>
      <c r="O150" s="514"/>
    </row>
    <row r="151" spans="3:15">
      <c r="C151" s="505">
        <f>IF(D94="","-",+C150+1)</f>
        <v>2060</v>
      </c>
      <c r="D151" s="469">
        <f t="shared" si="1"/>
        <v>0</v>
      </c>
      <c r="E151" s="511">
        <f t="shared" si="5"/>
        <v>0</v>
      </c>
      <c r="F151" s="469">
        <f t="shared" si="0"/>
        <v>0</v>
      </c>
      <c r="G151" s="935">
        <f t="shared" si="2"/>
        <v>0</v>
      </c>
      <c r="H151" s="938">
        <f t="shared" si="3"/>
        <v>0</v>
      </c>
      <c r="I151" s="509">
        <f t="shared" si="4"/>
        <v>0</v>
      </c>
      <c r="J151" s="509"/>
      <c r="K151" s="640"/>
      <c r="L151" s="514"/>
      <c r="M151" s="640"/>
      <c r="N151" s="514"/>
      <c r="O151" s="514"/>
    </row>
    <row r="152" spans="3:15">
      <c r="C152" s="505">
        <f>IF(D94="","-",+C151+1)</f>
        <v>2061</v>
      </c>
      <c r="D152" s="469">
        <f t="shared" si="1"/>
        <v>0</v>
      </c>
      <c r="E152" s="511">
        <f t="shared" si="5"/>
        <v>0</v>
      </c>
      <c r="F152" s="469">
        <f t="shared" si="0"/>
        <v>0</v>
      </c>
      <c r="G152" s="935">
        <f t="shared" si="2"/>
        <v>0</v>
      </c>
      <c r="H152" s="938">
        <f t="shared" si="3"/>
        <v>0</v>
      </c>
      <c r="I152" s="509">
        <f t="shared" si="4"/>
        <v>0</v>
      </c>
      <c r="J152" s="509"/>
      <c r="K152" s="640"/>
      <c r="L152" s="514"/>
      <c r="M152" s="640"/>
      <c r="N152" s="514"/>
      <c r="O152" s="514"/>
    </row>
    <row r="153" spans="3:15">
      <c r="C153" s="505">
        <f>IF(D94="","-",+C152+1)</f>
        <v>2062</v>
      </c>
      <c r="D153" s="469">
        <f t="shared" si="1"/>
        <v>0</v>
      </c>
      <c r="E153" s="511">
        <f t="shared" si="5"/>
        <v>0</v>
      </c>
      <c r="F153" s="469">
        <f t="shared" si="0"/>
        <v>0</v>
      </c>
      <c r="G153" s="935">
        <f t="shared" si="2"/>
        <v>0</v>
      </c>
      <c r="H153" s="938">
        <f t="shared" si="3"/>
        <v>0</v>
      </c>
      <c r="I153" s="509">
        <f t="shared" si="4"/>
        <v>0</v>
      </c>
      <c r="J153" s="509"/>
      <c r="K153" s="640"/>
      <c r="L153" s="514"/>
      <c r="M153" s="640"/>
      <c r="N153" s="514"/>
      <c r="O153" s="514"/>
    </row>
    <row r="154" spans="3:15">
      <c r="C154" s="505">
        <f>IF(D94="","-",+C153+1)</f>
        <v>2063</v>
      </c>
      <c r="D154" s="469">
        <f t="shared" si="1"/>
        <v>0</v>
      </c>
      <c r="E154" s="511">
        <f t="shared" si="5"/>
        <v>0</v>
      </c>
      <c r="F154" s="469">
        <f t="shared" si="0"/>
        <v>0</v>
      </c>
      <c r="G154" s="935">
        <f t="shared" si="2"/>
        <v>0</v>
      </c>
      <c r="H154" s="938">
        <f t="shared" si="3"/>
        <v>0</v>
      </c>
      <c r="I154" s="509">
        <f t="shared" si="4"/>
        <v>0</v>
      </c>
      <c r="J154" s="509"/>
      <c r="K154" s="640"/>
      <c r="L154" s="514"/>
      <c r="M154" s="640"/>
      <c r="N154" s="514"/>
      <c r="O154" s="514"/>
    </row>
    <row r="155" spans="3:15">
      <c r="C155" s="505">
        <f>IF(D94="","-",+C154+1)</f>
        <v>2064</v>
      </c>
      <c r="D155" s="469">
        <f t="shared" si="1"/>
        <v>0</v>
      </c>
      <c r="E155" s="511">
        <f t="shared" si="5"/>
        <v>0</v>
      </c>
      <c r="F155" s="469">
        <f t="shared" si="0"/>
        <v>0</v>
      </c>
      <c r="G155" s="935">
        <f t="shared" si="2"/>
        <v>0</v>
      </c>
      <c r="H155" s="938">
        <f t="shared" si="3"/>
        <v>0</v>
      </c>
      <c r="I155" s="509">
        <f t="shared" si="4"/>
        <v>0</v>
      </c>
      <c r="J155" s="509"/>
      <c r="K155" s="640"/>
      <c r="L155" s="514"/>
      <c r="M155" s="640"/>
      <c r="N155" s="514"/>
      <c r="O155" s="514"/>
    </row>
    <row r="156" spans="3:15">
      <c r="C156" s="505">
        <f>IF(D94="","-",+C155+1)</f>
        <v>2065</v>
      </c>
      <c r="D156" s="469">
        <f t="shared" si="1"/>
        <v>0</v>
      </c>
      <c r="E156" s="511">
        <f t="shared" si="5"/>
        <v>0</v>
      </c>
      <c r="F156" s="469">
        <f t="shared" si="0"/>
        <v>0</v>
      </c>
      <c r="G156" s="935">
        <f t="shared" si="2"/>
        <v>0</v>
      </c>
      <c r="H156" s="938">
        <f t="shared" si="3"/>
        <v>0</v>
      </c>
      <c r="I156" s="509">
        <f t="shared" si="4"/>
        <v>0</v>
      </c>
      <c r="J156" s="509"/>
      <c r="K156" s="640"/>
      <c r="L156" s="514"/>
      <c r="M156" s="640"/>
      <c r="N156" s="514"/>
      <c r="O156" s="514"/>
    </row>
    <row r="157" spans="3:15">
      <c r="C157" s="505">
        <f>IF(D94="","-",+C156+1)</f>
        <v>2066</v>
      </c>
      <c r="D157" s="469">
        <f t="shared" si="1"/>
        <v>0</v>
      </c>
      <c r="E157" s="511">
        <f t="shared" si="5"/>
        <v>0</v>
      </c>
      <c r="F157" s="469">
        <f t="shared" si="0"/>
        <v>0</v>
      </c>
      <c r="G157" s="935">
        <f t="shared" si="2"/>
        <v>0</v>
      </c>
      <c r="H157" s="938">
        <f t="shared" si="3"/>
        <v>0</v>
      </c>
      <c r="I157" s="509">
        <f t="shared" si="4"/>
        <v>0</v>
      </c>
      <c r="J157" s="509"/>
      <c r="K157" s="640"/>
      <c r="L157" s="514"/>
      <c r="M157" s="640"/>
      <c r="N157" s="514"/>
      <c r="O157" s="514"/>
    </row>
    <row r="158" spans="3:15">
      <c r="C158" s="505">
        <f>IF(D94="","-",+C157+1)</f>
        <v>2067</v>
      </c>
      <c r="D158" s="469">
        <f t="shared" si="1"/>
        <v>0</v>
      </c>
      <c r="E158" s="511">
        <f t="shared" si="5"/>
        <v>0</v>
      </c>
      <c r="F158" s="469">
        <f t="shared" si="0"/>
        <v>0</v>
      </c>
      <c r="G158" s="935">
        <f t="shared" si="2"/>
        <v>0</v>
      </c>
      <c r="H158" s="938">
        <f t="shared" si="3"/>
        <v>0</v>
      </c>
      <c r="I158" s="509">
        <f t="shared" si="4"/>
        <v>0</v>
      </c>
      <c r="J158" s="509"/>
      <c r="K158" s="640"/>
      <c r="L158" s="514"/>
      <c r="M158" s="640"/>
      <c r="N158" s="514"/>
      <c r="O158" s="514"/>
    </row>
    <row r="159" spans="3:15" ht="13.5" thickBot="1">
      <c r="C159" s="515">
        <f>IF(D94="","-",+C158+1)</f>
        <v>2068</v>
      </c>
      <c r="D159" s="516">
        <f t="shared" si="1"/>
        <v>0</v>
      </c>
      <c r="E159" s="517">
        <f t="shared" si="5"/>
        <v>0</v>
      </c>
      <c r="F159" s="516">
        <f t="shared" si="0"/>
        <v>0</v>
      </c>
      <c r="G159" s="946">
        <f t="shared" si="2"/>
        <v>0</v>
      </c>
      <c r="H159" s="946">
        <f t="shared" si="3"/>
        <v>0</v>
      </c>
      <c r="I159" s="519">
        <f t="shared" si="4"/>
        <v>0</v>
      </c>
      <c r="J159" s="509"/>
      <c r="K159" s="641"/>
      <c r="L159" s="521"/>
      <c r="M159" s="641"/>
      <c r="N159" s="521"/>
      <c r="O159" s="521"/>
    </row>
    <row r="160" spans="3:15">
      <c r="C160" s="469" t="s">
        <v>288</v>
      </c>
      <c r="D160" s="915"/>
      <c r="E160" s="469"/>
      <c r="F160" s="915"/>
      <c r="G160" s="915">
        <f>SUM(G100:G159)</f>
        <v>23274482.591262534</v>
      </c>
      <c r="H160" s="915">
        <f>SUM(H100:H159)</f>
        <v>23274482.591262534</v>
      </c>
      <c r="I160" s="915">
        <f>SUM(I100:I159)</f>
        <v>0</v>
      </c>
      <c r="J160" s="915"/>
      <c r="K160" s="915"/>
      <c r="L160" s="915"/>
      <c r="M160" s="915"/>
      <c r="N160" s="915"/>
      <c r="O160" s="4"/>
    </row>
    <row r="161" spans="1:16">
      <c r="D161" s="79"/>
      <c r="E161" s="4"/>
      <c r="F161" s="4"/>
      <c r="G161" s="4"/>
      <c r="H161" s="914"/>
      <c r="I161" s="914"/>
      <c r="J161" s="915"/>
      <c r="K161" s="914"/>
      <c r="L161" s="914"/>
      <c r="M161" s="914"/>
      <c r="N161" s="914"/>
      <c r="O161" s="4"/>
    </row>
    <row r="162" spans="1:16">
      <c r="C162" s="4" t="s">
        <v>595</v>
      </c>
      <c r="D162" s="79"/>
      <c r="E162" s="4"/>
      <c r="F162" s="4"/>
      <c r="G162" s="4"/>
      <c r="H162" s="914"/>
      <c r="I162" s="914"/>
      <c r="J162" s="915"/>
      <c r="K162" s="914"/>
      <c r="L162" s="914"/>
      <c r="M162" s="914"/>
      <c r="N162" s="914"/>
      <c r="O162" s="4"/>
    </row>
    <row r="163" spans="1:16">
      <c r="C163" s="4"/>
      <c r="D163" s="79"/>
      <c r="E163" s="4"/>
      <c r="F163" s="4"/>
      <c r="G163" s="4"/>
      <c r="H163" s="914"/>
      <c r="I163" s="914"/>
      <c r="J163" s="915"/>
      <c r="K163" s="914"/>
      <c r="L163" s="914"/>
      <c r="M163" s="914"/>
      <c r="N163" s="914"/>
      <c r="O163" s="4"/>
    </row>
    <row r="164" spans="1:16">
      <c r="C164" s="479" t="s">
        <v>924</v>
      </c>
      <c r="D164" s="469"/>
      <c r="E164" s="469"/>
      <c r="F164" s="469"/>
      <c r="G164" s="967"/>
      <c r="H164" s="915"/>
      <c r="I164" s="471"/>
      <c r="J164" s="471"/>
      <c r="K164" s="471"/>
      <c r="L164" s="968"/>
      <c r="M164" s="471"/>
      <c r="N164" s="471"/>
      <c r="O164" s="4"/>
    </row>
    <row r="165" spans="1:16">
      <c r="C165" s="479" t="s">
        <v>476</v>
      </c>
      <c r="D165" s="469"/>
      <c r="E165" s="469"/>
      <c r="F165" s="469"/>
      <c r="G165" s="915"/>
      <c r="H165" s="915"/>
      <c r="I165" s="471"/>
      <c r="J165" s="471"/>
      <c r="K165" s="471"/>
      <c r="L165" s="471"/>
      <c r="M165" s="471"/>
      <c r="N165" s="471"/>
      <c r="O165" s="4"/>
    </row>
    <row r="166" spans="1:16">
      <c r="C166" s="470" t="s">
        <v>289</v>
      </c>
      <c r="D166" s="469"/>
      <c r="E166" s="469"/>
      <c r="F166" s="469"/>
      <c r="G166" s="915"/>
      <c r="H166" s="915"/>
      <c r="I166" s="471"/>
      <c r="J166" s="471"/>
      <c r="K166" s="471"/>
      <c r="L166" s="471"/>
      <c r="M166" s="471"/>
      <c r="N166" s="471"/>
      <c r="O166" s="4"/>
    </row>
    <row r="167" spans="1:16" ht="12.75" customHeight="1">
      <c r="C167" s="470"/>
      <c r="D167" s="469"/>
      <c r="E167" s="469"/>
      <c r="F167" s="469"/>
      <c r="G167" s="915"/>
      <c r="H167" s="915"/>
      <c r="I167" s="471"/>
      <c r="J167" s="471"/>
      <c r="K167" s="471"/>
      <c r="L167" s="471"/>
      <c r="M167" s="471"/>
      <c r="N167" s="471"/>
      <c r="O167" s="4"/>
    </row>
    <row r="168" spans="1:16">
      <c r="C168" s="1275" t="s">
        <v>460</v>
      </c>
      <c r="D168" s="1275"/>
      <c r="E168" s="1275"/>
      <c r="F168" s="1275"/>
      <c r="G168" s="1275"/>
      <c r="H168" s="1275"/>
      <c r="I168" s="1275"/>
      <c r="J168" s="1275"/>
      <c r="K168" s="1275"/>
      <c r="L168" s="1275"/>
      <c r="M168" s="1275"/>
      <c r="N168" s="1275"/>
      <c r="O168" s="1275"/>
    </row>
    <row r="169" spans="1:16">
      <c r="C169" s="1275"/>
      <c r="D169" s="1275"/>
      <c r="E169" s="1275"/>
      <c r="F169" s="1275"/>
      <c r="G169" s="1275"/>
      <c r="H169" s="1275"/>
      <c r="I169" s="1275"/>
      <c r="J169" s="1275"/>
      <c r="K169" s="1275"/>
      <c r="L169" s="1275"/>
      <c r="M169" s="1275"/>
      <c r="N169" s="1275"/>
      <c r="O169" s="1275"/>
    </row>
    <row r="170" spans="1:16">
      <c r="H170" s="947"/>
    </row>
    <row r="171" spans="1:16" ht="20.25">
      <c r="A171" s="411" t="s">
        <v>921</v>
      </c>
      <c r="B171" s="4"/>
      <c r="C171" s="4"/>
      <c r="D171" s="79"/>
      <c r="E171" s="4"/>
      <c r="F171" s="81"/>
      <c r="G171" s="4"/>
      <c r="H171" s="914"/>
      <c r="K171" s="11"/>
      <c r="L171" s="11"/>
      <c r="M171" s="11"/>
      <c r="N171" s="11" t="str">
        <f>"Page "&amp;SUM(P$6:P171)&amp;" of "</f>
        <v xml:space="preserve">Page 2 of </v>
      </c>
      <c r="O171" s="412">
        <f>COUNT(P$6:P$59579)</f>
        <v>22</v>
      </c>
      <c r="P171" s="4">
        <v>1</v>
      </c>
    </row>
    <row r="172" spans="1:16">
      <c r="B172" s="4"/>
      <c r="C172" s="4"/>
      <c r="D172" s="79"/>
      <c r="E172" s="4"/>
      <c r="F172" s="4"/>
      <c r="G172" s="4"/>
      <c r="H172" s="914"/>
      <c r="I172" s="4"/>
      <c r="J172" s="4"/>
      <c r="K172" s="4"/>
      <c r="L172" s="4"/>
      <c r="M172" s="4"/>
      <c r="N172" s="4"/>
      <c r="O172" s="4"/>
    </row>
    <row r="173" spans="1:16" ht="18">
      <c r="B173" s="413" t="s">
        <v>174</v>
      </c>
      <c r="C173" s="472" t="s">
        <v>290</v>
      </c>
      <c r="D173" s="79"/>
      <c r="E173" s="4"/>
      <c r="F173" s="4"/>
      <c r="G173" s="4"/>
      <c r="H173" s="914"/>
      <c r="I173" s="914"/>
      <c r="J173" s="915"/>
      <c r="K173" s="914"/>
      <c r="L173" s="914"/>
      <c r="M173" s="914"/>
      <c r="N173" s="914"/>
      <c r="O173" s="4"/>
    </row>
    <row r="174" spans="1:16" ht="18.75">
      <c r="B174" s="413"/>
      <c r="C174" s="13"/>
      <c r="D174" s="79"/>
      <c r="E174" s="4"/>
      <c r="F174" s="4"/>
      <c r="G174" s="4"/>
      <c r="H174" s="914"/>
      <c r="I174" s="914"/>
      <c r="J174" s="915"/>
      <c r="K174" s="914"/>
      <c r="L174" s="914"/>
      <c r="M174" s="914"/>
      <c r="N174" s="914"/>
      <c r="O174" s="4"/>
    </row>
    <row r="175" spans="1:16" ht="18.75">
      <c r="B175" s="413"/>
      <c r="C175" s="13" t="s">
        <v>291</v>
      </c>
      <c r="D175" s="79"/>
      <c r="E175" s="4"/>
      <c r="F175" s="4"/>
      <c r="G175" s="4"/>
      <c r="H175" s="914"/>
      <c r="I175" s="914"/>
      <c r="J175" s="915"/>
      <c r="K175" s="914"/>
      <c r="L175" s="914"/>
      <c r="M175" s="914"/>
      <c r="N175" s="914"/>
      <c r="O175" s="4"/>
    </row>
    <row r="176" spans="1:16" ht="15.75" thickBot="1">
      <c r="C176" s="247"/>
      <c r="D176" s="79"/>
      <c r="E176" s="4"/>
      <c r="F176" s="4"/>
      <c r="G176" s="4"/>
      <c r="H176" s="914"/>
      <c r="I176" s="914"/>
      <c r="J176" s="915"/>
      <c r="K176" s="914"/>
      <c r="L176" s="914"/>
      <c r="M176" s="914"/>
      <c r="N176" s="914"/>
      <c r="O176" s="4"/>
    </row>
    <row r="177" spans="1:15" ht="15.75">
      <c r="C177" s="414" t="s">
        <v>292</v>
      </c>
      <c r="D177" s="79"/>
      <c r="E177" s="4"/>
      <c r="F177" s="4"/>
      <c r="G177" s="948"/>
      <c r="H177" s="4" t="s">
        <v>271</v>
      </c>
      <c r="I177" s="4"/>
      <c r="J177" s="4"/>
      <c r="K177" s="473" t="s">
        <v>296</v>
      </c>
      <c r="L177" s="474"/>
      <c r="M177" s="475"/>
      <c r="N177" s="917">
        <f>VLOOKUP(I183,C190:O249,5)</f>
        <v>1004459.8927930172</v>
      </c>
      <c r="O177" s="4"/>
    </row>
    <row r="178" spans="1:15" ht="15.75">
      <c r="C178" s="414"/>
      <c r="D178" s="79"/>
      <c r="E178" s="4"/>
      <c r="F178" s="4"/>
      <c r="G178" s="4"/>
      <c r="H178" s="918"/>
      <c r="I178" s="918"/>
      <c r="J178" s="919"/>
      <c r="K178" s="478" t="s">
        <v>297</v>
      </c>
      <c r="L178" s="920"/>
      <c r="M178" s="4"/>
      <c r="N178" s="921">
        <f>VLOOKUP(I183,C190:O249,6)</f>
        <v>1004459.8927930172</v>
      </c>
      <c r="O178" s="4"/>
    </row>
    <row r="179" spans="1:15" ht="13.5" thickBot="1">
      <c r="C179" s="479" t="s">
        <v>293</v>
      </c>
      <c r="D179" s="1278" t="s">
        <v>925</v>
      </c>
      <c r="E179" s="1279"/>
      <c r="F179" s="1279"/>
      <c r="G179" s="1279"/>
      <c r="H179" s="1279"/>
      <c r="I179" s="1279"/>
      <c r="J179" s="915"/>
      <c r="K179" s="922" t="s">
        <v>450</v>
      </c>
      <c r="L179" s="923"/>
      <c r="M179" s="923"/>
      <c r="N179" s="924">
        <f>+N178-N177</f>
        <v>0</v>
      </c>
      <c r="O179" s="4"/>
    </row>
    <row r="180" spans="1:15">
      <c r="C180" s="481"/>
      <c r="D180" s="1279"/>
      <c r="E180" s="1279"/>
      <c r="F180" s="1279"/>
      <c r="G180" s="1279"/>
      <c r="H180" s="1279"/>
      <c r="I180" s="1279"/>
      <c r="J180" s="915"/>
      <c r="K180" s="914"/>
      <c r="L180" s="914"/>
      <c r="M180" s="914"/>
      <c r="N180" s="914"/>
      <c r="O180" s="4"/>
    </row>
    <row r="181" spans="1:15" ht="13.5" thickBot="1">
      <c r="C181" s="481"/>
      <c r="D181" s="925"/>
      <c r="E181" s="483"/>
      <c r="F181" s="483"/>
      <c r="G181" s="483"/>
      <c r="H181" s="483"/>
      <c r="I181" s="483"/>
      <c r="J181" s="483"/>
      <c r="K181" s="483"/>
      <c r="L181" s="483"/>
      <c r="M181" s="483"/>
      <c r="N181" s="483"/>
      <c r="O181" s="4"/>
    </row>
    <row r="182" spans="1:15" ht="13.5" thickBot="1">
      <c r="C182" s="484" t="s">
        <v>294</v>
      </c>
      <c r="D182" s="485"/>
      <c r="E182" s="485"/>
      <c r="F182" s="485"/>
      <c r="G182" s="485"/>
      <c r="H182" s="485"/>
      <c r="I182" s="486"/>
      <c r="K182" s="4"/>
      <c r="L182" s="4"/>
      <c r="M182" s="4"/>
      <c r="N182" s="4"/>
      <c r="O182" s="4"/>
    </row>
    <row r="183" spans="1:15" ht="15">
      <c r="C183" s="487" t="s">
        <v>272</v>
      </c>
      <c r="D183" s="926">
        <v>6529259</v>
      </c>
      <c r="E183" s="4" t="s">
        <v>273</v>
      </c>
      <c r="G183" s="79"/>
      <c r="H183" s="79"/>
      <c r="I183" s="488">
        <v>2018</v>
      </c>
      <c r="J183" s="135"/>
      <c r="K183" s="1277" t="s">
        <v>459</v>
      </c>
      <c r="L183" s="1277"/>
      <c r="M183" s="1277"/>
      <c r="N183" s="1277"/>
      <c r="O183" s="1277"/>
    </row>
    <row r="184" spans="1:15">
      <c r="C184" s="487" t="s">
        <v>275</v>
      </c>
      <c r="D184" s="636">
        <v>2012</v>
      </c>
      <c r="E184" s="487" t="s">
        <v>276</v>
      </c>
      <c r="F184" s="79"/>
      <c r="H184"/>
      <c r="I184" s="927">
        <f>IF(G177="",0,$F$15)</f>
        <v>0</v>
      </c>
      <c r="J184" s="489"/>
      <c r="K184" s="915" t="s">
        <v>459</v>
      </c>
    </row>
    <row r="185" spans="1:15">
      <c r="C185" s="487" t="s">
        <v>277</v>
      </c>
      <c r="D185" s="926">
        <v>11</v>
      </c>
      <c r="E185" s="487" t="s">
        <v>278</v>
      </c>
      <c r="F185" s="79"/>
      <c r="H185"/>
      <c r="I185" s="490">
        <f>$G$70</f>
        <v>0.14996626714737105</v>
      </c>
      <c r="J185" s="81"/>
      <c r="K185" t="str">
        <f>"          INPUT PROJECTED ARR (WITH &amp; WITHOUT INCENTIVES) FROM EACH PRIOR YEAR"</f>
        <v xml:space="preserve">          INPUT PROJECTED ARR (WITH &amp; WITHOUT INCENTIVES) FROM EACH PRIOR YEAR</v>
      </c>
    </row>
    <row r="186" spans="1:15">
      <c r="C186" s="487" t="s">
        <v>279</v>
      </c>
      <c r="D186" s="491">
        <f>G$79</f>
        <v>42</v>
      </c>
      <c r="E186" s="487" t="s">
        <v>280</v>
      </c>
      <c r="F186" s="79"/>
      <c r="H186"/>
      <c r="I186" s="490">
        <f>IF(G177="",I185,$G$67)</f>
        <v>0.14996626714737105</v>
      </c>
      <c r="J186" s="81"/>
      <c r="K186" t="s">
        <v>357</v>
      </c>
    </row>
    <row r="187" spans="1:15" ht="13.5" thickBot="1">
      <c r="C187" s="487" t="s">
        <v>281</v>
      </c>
      <c r="D187" s="637" t="s">
        <v>923</v>
      </c>
      <c r="E187" s="492" t="s">
        <v>282</v>
      </c>
      <c r="F187" s="493"/>
      <c r="G187" s="494"/>
      <c r="H187" s="494"/>
      <c r="I187" s="924">
        <f>IF(D183=0,0,D183/D186)</f>
        <v>155458.54761904763</v>
      </c>
      <c r="J187" s="915"/>
      <c r="K187" s="915" t="s">
        <v>363</v>
      </c>
      <c r="L187" s="915"/>
      <c r="M187" s="915"/>
      <c r="N187" s="915"/>
      <c r="O187" s="4"/>
    </row>
    <row r="188" spans="1:15" ht="51">
      <c r="A188" s="12"/>
      <c r="B188" s="12"/>
      <c r="C188" s="495" t="s">
        <v>272</v>
      </c>
      <c r="D188" s="928" t="s">
        <v>283</v>
      </c>
      <c r="E188" s="929" t="s">
        <v>284</v>
      </c>
      <c r="F188" s="928" t="s">
        <v>285</v>
      </c>
      <c r="G188" s="929" t="s">
        <v>356</v>
      </c>
      <c r="H188" s="930" t="s">
        <v>356</v>
      </c>
      <c r="I188" s="495" t="s">
        <v>295</v>
      </c>
      <c r="J188" s="499"/>
      <c r="K188" s="929" t="s">
        <v>365</v>
      </c>
      <c r="L188" s="931"/>
      <c r="M188" s="929" t="s">
        <v>365</v>
      </c>
      <c r="N188" s="931"/>
      <c r="O188" s="931"/>
    </row>
    <row r="189" spans="1:15" ht="13.5" thickBot="1">
      <c r="C189" s="500" t="s">
        <v>177</v>
      </c>
      <c r="D189" s="501" t="s">
        <v>178</v>
      </c>
      <c r="E189" s="500" t="s">
        <v>37</v>
      </c>
      <c r="F189" s="501" t="s">
        <v>178</v>
      </c>
      <c r="G189" s="932" t="s">
        <v>298</v>
      </c>
      <c r="H189" s="933" t="s">
        <v>300</v>
      </c>
      <c r="I189" s="500" t="s">
        <v>389</v>
      </c>
      <c r="J189" s="504"/>
      <c r="K189" s="932" t="s">
        <v>287</v>
      </c>
      <c r="L189" s="934"/>
      <c r="M189" s="932" t="s">
        <v>300</v>
      </c>
      <c r="N189" s="934"/>
      <c r="O189" s="934"/>
    </row>
    <row r="190" spans="1:15">
      <c r="C190" s="505">
        <f>IF(D184= "","-",D184)</f>
        <v>2012</v>
      </c>
      <c r="D190" s="469">
        <f>+D183</f>
        <v>6529259</v>
      </c>
      <c r="E190" s="935">
        <f>+I187/12*(12-D185)</f>
        <v>12954.87896825397</v>
      </c>
      <c r="F190" s="469">
        <f t="shared" ref="F190:F249" si="6">+D190-E190</f>
        <v>6516304.1210317463</v>
      </c>
      <c r="G190" s="936">
        <f>+$I$185*((D190+F190)/2)+E190</f>
        <v>991152.08101652318</v>
      </c>
      <c r="H190" s="937">
        <f>$I$186*((D190+F190)/2)+E190</f>
        <v>991152.08101652318</v>
      </c>
      <c r="I190" s="509">
        <f>+H190-G190</f>
        <v>0</v>
      </c>
      <c r="J190" s="509"/>
      <c r="K190" s="949">
        <v>832082</v>
      </c>
      <c r="L190" s="510"/>
      <c r="M190" s="949">
        <v>832082</v>
      </c>
      <c r="N190" s="510"/>
      <c r="O190" s="510"/>
    </row>
    <row r="191" spans="1:15">
      <c r="C191" s="505">
        <f>IF(D184="","-",+C190+1)</f>
        <v>2013</v>
      </c>
      <c r="D191" s="469">
        <f t="shared" ref="D191:D249" si="7">F190</f>
        <v>6516304.1210317463</v>
      </c>
      <c r="E191" s="511">
        <f>IF(D191&gt;$I$187,$I$187,D191)</f>
        <v>155458.54761904763</v>
      </c>
      <c r="F191" s="469">
        <f t="shared" si="6"/>
        <v>6360845.5734126987</v>
      </c>
      <c r="G191" s="935">
        <f t="shared" ref="G191:G249" si="8">+$I$185*((D191+F191)/2)+E191</f>
        <v>1121027.583205919</v>
      </c>
      <c r="H191" s="938">
        <f t="shared" ref="H191:H249" si="9">$I$186*((D191+F191)/2)+E191</f>
        <v>1121027.583205919</v>
      </c>
      <c r="I191" s="509">
        <f t="shared" ref="I191:I249" si="10">+H191-G191</f>
        <v>0</v>
      </c>
      <c r="J191" s="509"/>
      <c r="K191" s="939">
        <v>1210587</v>
      </c>
      <c r="L191" s="514"/>
      <c r="M191" s="939">
        <v>1210587</v>
      </c>
      <c r="N191" s="514"/>
      <c r="O191" s="514"/>
    </row>
    <row r="192" spans="1:15">
      <c r="C192" s="505">
        <f>IF(D184="","-",+C191+1)</f>
        <v>2014</v>
      </c>
      <c r="D192" s="469">
        <f t="shared" si="7"/>
        <v>6360845.5734126987</v>
      </c>
      <c r="E192" s="511">
        <f t="shared" ref="E192:E249" si="11">IF(D192&gt;$I$187,$I$187,D192)</f>
        <v>155458.54761904763</v>
      </c>
      <c r="F192" s="469">
        <f t="shared" si="6"/>
        <v>6205387.0257936511</v>
      </c>
      <c r="G192" s="935">
        <f t="shared" si="8"/>
        <v>1097714.0451233389</v>
      </c>
      <c r="H192" s="938">
        <f t="shared" si="9"/>
        <v>1097714.0451233389</v>
      </c>
      <c r="I192" s="509">
        <f t="shared" si="10"/>
        <v>0</v>
      </c>
      <c r="J192" s="509"/>
      <c r="K192" s="939">
        <v>1247628</v>
      </c>
      <c r="L192" s="514"/>
      <c r="M192" s="939">
        <v>1247628</v>
      </c>
      <c r="N192" s="514"/>
      <c r="O192" s="514"/>
    </row>
    <row r="193" spans="3:15">
      <c r="C193" s="505">
        <f>IF(D184="","-",+C192+1)</f>
        <v>2015</v>
      </c>
      <c r="D193" s="469">
        <f t="shared" si="7"/>
        <v>6205387.0257936511</v>
      </c>
      <c r="E193" s="511">
        <f t="shared" si="11"/>
        <v>155458.54761904763</v>
      </c>
      <c r="F193" s="469">
        <f t="shared" si="6"/>
        <v>6049928.4781746035</v>
      </c>
      <c r="G193" s="935">
        <f t="shared" si="8"/>
        <v>1074400.5070407584</v>
      </c>
      <c r="H193" s="938">
        <f t="shared" si="9"/>
        <v>1074400.5070407584</v>
      </c>
      <c r="I193" s="509">
        <f t="shared" si="10"/>
        <v>0</v>
      </c>
      <c r="J193" s="509"/>
      <c r="K193" s="640">
        <v>1279512</v>
      </c>
      <c r="L193" s="514"/>
      <c r="M193" s="640">
        <v>1279512</v>
      </c>
      <c r="N193" s="514"/>
      <c r="O193" s="514"/>
    </row>
    <row r="194" spans="3:15">
      <c r="C194" s="505">
        <f>IF(D184="","-",+C193+1)</f>
        <v>2016</v>
      </c>
      <c r="D194" s="469">
        <f t="shared" si="7"/>
        <v>6049928.4781746035</v>
      </c>
      <c r="E194" s="511">
        <f t="shared" si="11"/>
        <v>155458.54761904763</v>
      </c>
      <c r="F194" s="469">
        <f t="shared" si="6"/>
        <v>5894469.930555556</v>
      </c>
      <c r="G194" s="935">
        <f t="shared" si="8"/>
        <v>1051086.9689581781</v>
      </c>
      <c r="H194" s="938">
        <f t="shared" si="9"/>
        <v>1051086.9689581781</v>
      </c>
      <c r="I194" s="509">
        <f t="shared" si="10"/>
        <v>0</v>
      </c>
      <c r="J194" s="509"/>
      <c r="K194" s="640">
        <v>1233365</v>
      </c>
      <c r="L194" s="514"/>
      <c r="M194" s="640">
        <v>1233365</v>
      </c>
      <c r="N194" s="514"/>
      <c r="O194" s="514"/>
    </row>
    <row r="195" spans="3:15">
      <c r="C195" s="505">
        <f>IF(D184="","-",+C194+1)</f>
        <v>2017</v>
      </c>
      <c r="D195" s="469">
        <f t="shared" si="7"/>
        <v>5894469.930555556</v>
      </c>
      <c r="E195" s="511">
        <f t="shared" si="11"/>
        <v>155458.54761904763</v>
      </c>
      <c r="F195" s="469">
        <f t="shared" si="6"/>
        <v>5739011.3829365084</v>
      </c>
      <c r="G195" s="935">
        <f t="shared" si="8"/>
        <v>1027773.4308755975</v>
      </c>
      <c r="H195" s="938">
        <f t="shared" si="9"/>
        <v>1027773.4308755975</v>
      </c>
      <c r="I195" s="509">
        <f t="shared" si="10"/>
        <v>0</v>
      </c>
      <c r="J195" s="509"/>
      <c r="K195" s="640">
        <v>1245646</v>
      </c>
      <c r="L195" s="514"/>
      <c r="M195" s="640">
        <v>1245646</v>
      </c>
      <c r="N195" s="514"/>
      <c r="O195" s="514"/>
    </row>
    <row r="196" spans="3:15">
      <c r="C196" s="940">
        <f>IF(D184="","-",+C195+1)</f>
        <v>2018</v>
      </c>
      <c r="D196" s="941">
        <f t="shared" si="7"/>
        <v>5739011.3829365084</v>
      </c>
      <c r="E196" s="942">
        <f t="shared" si="11"/>
        <v>155458.54761904763</v>
      </c>
      <c r="F196" s="941">
        <f t="shared" si="6"/>
        <v>5583552.8353174608</v>
      </c>
      <c r="G196" s="943">
        <f t="shared" si="8"/>
        <v>1004459.8927930172</v>
      </c>
      <c r="H196" s="944">
        <f t="shared" si="9"/>
        <v>1004459.8927930172</v>
      </c>
      <c r="I196" s="945">
        <f t="shared" si="10"/>
        <v>0</v>
      </c>
      <c r="J196" s="509"/>
      <c r="K196" s="640"/>
      <c r="L196" s="514"/>
      <c r="M196" s="640"/>
      <c r="N196" s="514"/>
      <c r="O196" s="514"/>
    </row>
    <row r="197" spans="3:15">
      <c r="C197" s="505">
        <f>IF(D184="","-",+C196+1)</f>
        <v>2019</v>
      </c>
      <c r="D197" s="469">
        <f t="shared" si="7"/>
        <v>5583552.8353174608</v>
      </c>
      <c r="E197" s="511">
        <f t="shared" si="11"/>
        <v>155458.54761904763</v>
      </c>
      <c r="F197" s="469">
        <f t="shared" si="6"/>
        <v>5428094.2876984132</v>
      </c>
      <c r="G197" s="935">
        <f t="shared" si="8"/>
        <v>981146.35471043666</v>
      </c>
      <c r="H197" s="938">
        <f t="shared" si="9"/>
        <v>981146.35471043666</v>
      </c>
      <c r="I197" s="509">
        <f t="shared" si="10"/>
        <v>0</v>
      </c>
      <c r="J197" s="509"/>
      <c r="K197" s="640"/>
      <c r="L197" s="514"/>
      <c r="M197" s="640"/>
      <c r="N197" s="514"/>
      <c r="O197" s="514"/>
    </row>
    <row r="198" spans="3:15">
      <c r="C198" s="505">
        <f>IF(D184="","-",+C197+1)</f>
        <v>2020</v>
      </c>
      <c r="D198" s="469">
        <f t="shared" si="7"/>
        <v>5428094.2876984132</v>
      </c>
      <c r="E198" s="511">
        <f t="shared" si="11"/>
        <v>155458.54761904763</v>
      </c>
      <c r="F198" s="469">
        <f t="shared" si="6"/>
        <v>5272635.7400793657</v>
      </c>
      <c r="G198" s="935">
        <f t="shared" si="8"/>
        <v>957832.81662785658</v>
      </c>
      <c r="H198" s="938">
        <f t="shared" si="9"/>
        <v>957832.81662785658</v>
      </c>
      <c r="I198" s="509">
        <f t="shared" si="10"/>
        <v>0</v>
      </c>
      <c r="J198" s="509"/>
      <c r="K198" s="640"/>
      <c r="L198" s="514"/>
      <c r="M198" s="640"/>
      <c r="N198" s="514"/>
      <c r="O198" s="514"/>
    </row>
    <row r="199" spans="3:15">
      <c r="C199" s="505">
        <f>IF(D184="","-",+C198+1)</f>
        <v>2021</v>
      </c>
      <c r="D199" s="469">
        <f t="shared" si="7"/>
        <v>5272635.7400793657</v>
      </c>
      <c r="E199" s="511">
        <f t="shared" si="11"/>
        <v>155458.54761904763</v>
      </c>
      <c r="F199" s="469">
        <f t="shared" si="6"/>
        <v>5117177.1924603181</v>
      </c>
      <c r="G199" s="935">
        <f t="shared" si="8"/>
        <v>934519.27854527603</v>
      </c>
      <c r="H199" s="938">
        <f t="shared" si="9"/>
        <v>934519.27854527603</v>
      </c>
      <c r="I199" s="509">
        <f t="shared" si="10"/>
        <v>0</v>
      </c>
      <c r="J199" s="509"/>
      <c r="K199" s="640"/>
      <c r="L199" s="514"/>
      <c r="M199" s="640"/>
      <c r="N199" s="514"/>
      <c r="O199" s="514"/>
    </row>
    <row r="200" spans="3:15">
      <c r="C200" s="505">
        <f>IF(D184="","-",+C199+1)</f>
        <v>2022</v>
      </c>
      <c r="D200" s="469">
        <f t="shared" si="7"/>
        <v>5117177.1924603181</v>
      </c>
      <c r="E200" s="511">
        <f t="shared" si="11"/>
        <v>155458.54761904763</v>
      </c>
      <c r="F200" s="469">
        <f t="shared" si="6"/>
        <v>4961718.6448412705</v>
      </c>
      <c r="G200" s="935">
        <f t="shared" si="8"/>
        <v>911205.74046269571</v>
      </c>
      <c r="H200" s="938">
        <f t="shared" si="9"/>
        <v>911205.74046269571</v>
      </c>
      <c r="I200" s="509">
        <f t="shared" si="10"/>
        <v>0</v>
      </c>
      <c r="J200" s="509"/>
      <c r="K200" s="640"/>
      <c r="L200" s="514"/>
      <c r="M200" s="640"/>
      <c r="N200" s="514"/>
      <c r="O200" s="514"/>
    </row>
    <row r="201" spans="3:15">
      <c r="C201" s="505">
        <f>IF(D184="","-",+C200+1)</f>
        <v>2023</v>
      </c>
      <c r="D201" s="469">
        <f t="shared" si="7"/>
        <v>4961718.6448412705</v>
      </c>
      <c r="E201" s="511">
        <f t="shared" si="11"/>
        <v>155458.54761904763</v>
      </c>
      <c r="F201" s="469">
        <f t="shared" si="6"/>
        <v>4806260.0972222229</v>
      </c>
      <c r="G201" s="935">
        <f t="shared" si="8"/>
        <v>887892.20238011517</v>
      </c>
      <c r="H201" s="938">
        <f t="shared" si="9"/>
        <v>887892.20238011517</v>
      </c>
      <c r="I201" s="509">
        <f t="shared" si="10"/>
        <v>0</v>
      </c>
      <c r="J201" s="509"/>
      <c r="K201" s="640"/>
      <c r="L201" s="514"/>
      <c r="M201" s="640"/>
      <c r="N201" s="514"/>
      <c r="O201" s="514"/>
    </row>
    <row r="202" spans="3:15">
      <c r="C202" s="505">
        <f>IF(D184="","-",+C201+1)</f>
        <v>2024</v>
      </c>
      <c r="D202" s="469">
        <f t="shared" si="7"/>
        <v>4806260.0972222229</v>
      </c>
      <c r="E202" s="511">
        <f t="shared" si="11"/>
        <v>155458.54761904763</v>
      </c>
      <c r="F202" s="469">
        <f t="shared" si="6"/>
        <v>4650801.5496031754</v>
      </c>
      <c r="G202" s="935">
        <f t="shared" si="8"/>
        <v>864578.66429753485</v>
      </c>
      <c r="H202" s="938">
        <f t="shared" si="9"/>
        <v>864578.66429753485</v>
      </c>
      <c r="I202" s="509">
        <f t="shared" si="10"/>
        <v>0</v>
      </c>
      <c r="J202" s="509"/>
      <c r="K202" s="640"/>
      <c r="L202" s="514"/>
      <c r="M202" s="640"/>
      <c r="N202" s="514"/>
      <c r="O202" s="514"/>
    </row>
    <row r="203" spans="3:15">
      <c r="C203" s="505">
        <f>IF(D184="","-",+C202+1)</f>
        <v>2025</v>
      </c>
      <c r="D203" s="469">
        <f t="shared" si="7"/>
        <v>4650801.5496031754</v>
      </c>
      <c r="E203" s="511">
        <f t="shared" si="11"/>
        <v>155458.54761904763</v>
      </c>
      <c r="F203" s="469">
        <f t="shared" si="6"/>
        <v>4495343.0019841278</v>
      </c>
      <c r="G203" s="935">
        <f t="shared" si="8"/>
        <v>841265.1262149543</v>
      </c>
      <c r="H203" s="938">
        <f t="shared" si="9"/>
        <v>841265.1262149543</v>
      </c>
      <c r="I203" s="509">
        <f t="shared" si="10"/>
        <v>0</v>
      </c>
      <c r="J203" s="509"/>
      <c r="K203" s="640"/>
      <c r="L203" s="514"/>
      <c r="M203" s="640"/>
      <c r="N203" s="514"/>
      <c r="O203" s="514"/>
    </row>
    <row r="204" spans="3:15">
      <c r="C204" s="505">
        <f>IF(D184="","-",+C203+1)</f>
        <v>2026</v>
      </c>
      <c r="D204" s="469">
        <f t="shared" si="7"/>
        <v>4495343.0019841278</v>
      </c>
      <c r="E204" s="511">
        <f t="shared" si="11"/>
        <v>155458.54761904763</v>
      </c>
      <c r="F204" s="469">
        <f t="shared" si="6"/>
        <v>4339884.4543650802</v>
      </c>
      <c r="G204" s="935">
        <f t="shared" si="8"/>
        <v>817951.58813237422</v>
      </c>
      <c r="H204" s="938">
        <f t="shared" si="9"/>
        <v>817951.58813237422</v>
      </c>
      <c r="I204" s="509">
        <f t="shared" si="10"/>
        <v>0</v>
      </c>
      <c r="J204" s="509"/>
      <c r="K204" s="640"/>
      <c r="L204" s="514"/>
      <c r="M204" s="640"/>
      <c r="N204" s="514"/>
      <c r="O204" s="514"/>
    </row>
    <row r="205" spans="3:15">
      <c r="C205" s="505">
        <f>IF(D184="","-",+C204+1)</f>
        <v>2027</v>
      </c>
      <c r="D205" s="469">
        <f t="shared" si="7"/>
        <v>4339884.4543650802</v>
      </c>
      <c r="E205" s="511">
        <f t="shared" si="11"/>
        <v>155458.54761904763</v>
      </c>
      <c r="F205" s="469">
        <f t="shared" si="6"/>
        <v>4184425.9067460326</v>
      </c>
      <c r="G205" s="935">
        <f t="shared" si="8"/>
        <v>794638.05004979367</v>
      </c>
      <c r="H205" s="938">
        <f t="shared" si="9"/>
        <v>794638.05004979367</v>
      </c>
      <c r="I205" s="509">
        <f t="shared" si="10"/>
        <v>0</v>
      </c>
      <c r="J205" s="509"/>
      <c r="K205" s="640"/>
      <c r="L205" s="514"/>
      <c r="M205" s="640"/>
      <c r="N205" s="514"/>
      <c r="O205" s="514"/>
    </row>
    <row r="206" spans="3:15">
      <c r="C206" s="505">
        <f>IF(D184="","-",+C205+1)</f>
        <v>2028</v>
      </c>
      <c r="D206" s="469">
        <f t="shared" si="7"/>
        <v>4184425.9067460326</v>
      </c>
      <c r="E206" s="511">
        <f t="shared" si="11"/>
        <v>155458.54761904763</v>
      </c>
      <c r="F206" s="469">
        <f t="shared" si="6"/>
        <v>4028967.3591269851</v>
      </c>
      <c r="G206" s="935">
        <f t="shared" si="8"/>
        <v>771324.51196721336</v>
      </c>
      <c r="H206" s="938">
        <f t="shared" si="9"/>
        <v>771324.51196721336</v>
      </c>
      <c r="I206" s="509">
        <f t="shared" si="10"/>
        <v>0</v>
      </c>
      <c r="J206" s="509"/>
      <c r="K206" s="640"/>
      <c r="L206" s="514"/>
      <c r="M206" s="640"/>
      <c r="N206" s="514"/>
      <c r="O206" s="514"/>
    </row>
    <row r="207" spans="3:15">
      <c r="C207" s="505">
        <f>IF(D184="","-",+C206+1)</f>
        <v>2029</v>
      </c>
      <c r="D207" s="469">
        <f t="shared" si="7"/>
        <v>4028967.3591269851</v>
      </c>
      <c r="E207" s="511">
        <f t="shared" si="11"/>
        <v>155458.54761904763</v>
      </c>
      <c r="F207" s="469">
        <f t="shared" si="6"/>
        <v>3873508.8115079375</v>
      </c>
      <c r="G207" s="935">
        <f t="shared" si="8"/>
        <v>748010.97388463281</v>
      </c>
      <c r="H207" s="938">
        <f t="shared" si="9"/>
        <v>748010.97388463281</v>
      </c>
      <c r="I207" s="509">
        <f t="shared" si="10"/>
        <v>0</v>
      </c>
      <c r="J207" s="509"/>
      <c r="K207" s="640"/>
      <c r="L207" s="514"/>
      <c r="M207" s="640"/>
      <c r="N207" s="514"/>
      <c r="O207" s="514"/>
    </row>
    <row r="208" spans="3:15">
      <c r="C208" s="505">
        <f>IF(D184="","-",+C207+1)</f>
        <v>2030</v>
      </c>
      <c r="D208" s="469">
        <f t="shared" si="7"/>
        <v>3873508.8115079375</v>
      </c>
      <c r="E208" s="511">
        <f t="shared" si="11"/>
        <v>155458.54761904763</v>
      </c>
      <c r="F208" s="469">
        <f t="shared" si="6"/>
        <v>3718050.2638888899</v>
      </c>
      <c r="G208" s="935">
        <f t="shared" si="8"/>
        <v>724697.4358020525</v>
      </c>
      <c r="H208" s="938">
        <f t="shared" si="9"/>
        <v>724697.4358020525</v>
      </c>
      <c r="I208" s="509">
        <f t="shared" si="10"/>
        <v>0</v>
      </c>
      <c r="J208" s="509"/>
      <c r="K208" s="640"/>
      <c r="L208" s="514"/>
      <c r="M208" s="640"/>
      <c r="N208" s="514"/>
      <c r="O208" s="514"/>
    </row>
    <row r="209" spans="3:15">
      <c r="C209" s="505">
        <f>IF(D184="","-",+C208+1)</f>
        <v>2031</v>
      </c>
      <c r="D209" s="469">
        <f t="shared" si="7"/>
        <v>3718050.2638888899</v>
      </c>
      <c r="E209" s="511">
        <f t="shared" si="11"/>
        <v>155458.54761904763</v>
      </c>
      <c r="F209" s="469">
        <f t="shared" si="6"/>
        <v>3562591.7162698423</v>
      </c>
      <c r="G209" s="935">
        <f t="shared" si="8"/>
        <v>701383.89771947218</v>
      </c>
      <c r="H209" s="938">
        <f t="shared" si="9"/>
        <v>701383.89771947218</v>
      </c>
      <c r="I209" s="509">
        <f t="shared" si="10"/>
        <v>0</v>
      </c>
      <c r="J209" s="509"/>
      <c r="K209" s="640"/>
      <c r="L209" s="514"/>
      <c r="M209" s="640"/>
      <c r="N209" s="514"/>
      <c r="O209" s="514"/>
    </row>
    <row r="210" spans="3:15">
      <c r="C210" s="505">
        <f>IF(D184="","-",+C209+1)</f>
        <v>2032</v>
      </c>
      <c r="D210" s="469">
        <f t="shared" si="7"/>
        <v>3562591.7162698423</v>
      </c>
      <c r="E210" s="511">
        <f t="shared" si="11"/>
        <v>155458.54761904763</v>
      </c>
      <c r="F210" s="469">
        <f t="shared" si="6"/>
        <v>3407133.1686507948</v>
      </c>
      <c r="G210" s="935">
        <f t="shared" si="8"/>
        <v>678070.35963689175</v>
      </c>
      <c r="H210" s="938">
        <f t="shared" si="9"/>
        <v>678070.35963689175</v>
      </c>
      <c r="I210" s="509">
        <f t="shared" si="10"/>
        <v>0</v>
      </c>
      <c r="J210" s="509"/>
      <c r="K210" s="640"/>
      <c r="L210" s="514"/>
      <c r="M210" s="640"/>
      <c r="N210" s="514"/>
      <c r="O210" s="514"/>
    </row>
    <row r="211" spans="3:15">
      <c r="C211" s="505">
        <f>IF(D184="","-",+C210+1)</f>
        <v>2033</v>
      </c>
      <c r="D211" s="469">
        <f t="shared" si="7"/>
        <v>3407133.1686507948</v>
      </c>
      <c r="E211" s="511">
        <f t="shared" si="11"/>
        <v>155458.54761904763</v>
      </c>
      <c r="F211" s="469">
        <f t="shared" si="6"/>
        <v>3251674.6210317472</v>
      </c>
      <c r="G211" s="935">
        <f t="shared" si="8"/>
        <v>654756.82155431132</v>
      </c>
      <c r="H211" s="938">
        <f t="shared" si="9"/>
        <v>654756.82155431132</v>
      </c>
      <c r="I211" s="509">
        <f t="shared" si="10"/>
        <v>0</v>
      </c>
      <c r="J211" s="509"/>
      <c r="K211" s="640"/>
      <c r="L211" s="514"/>
      <c r="M211" s="640"/>
      <c r="N211" s="514"/>
      <c r="O211" s="514"/>
    </row>
    <row r="212" spans="3:15">
      <c r="C212" s="505">
        <f>IF(D184="","-",+C211+1)</f>
        <v>2034</v>
      </c>
      <c r="D212" s="469">
        <f t="shared" si="7"/>
        <v>3251674.6210317472</v>
      </c>
      <c r="E212" s="511">
        <f t="shared" si="11"/>
        <v>155458.54761904763</v>
      </c>
      <c r="F212" s="469">
        <f t="shared" si="6"/>
        <v>3096216.0734126996</v>
      </c>
      <c r="G212" s="935">
        <f t="shared" si="8"/>
        <v>631443.283471731</v>
      </c>
      <c r="H212" s="938">
        <f t="shared" si="9"/>
        <v>631443.283471731</v>
      </c>
      <c r="I212" s="509">
        <f t="shared" si="10"/>
        <v>0</v>
      </c>
      <c r="J212" s="509"/>
      <c r="K212" s="640"/>
      <c r="L212" s="514"/>
      <c r="M212" s="640"/>
      <c r="N212" s="514"/>
      <c r="O212" s="514"/>
    </row>
    <row r="213" spans="3:15">
      <c r="C213" s="505">
        <f>IF(D184="","-",+C212+1)</f>
        <v>2035</v>
      </c>
      <c r="D213" s="469">
        <f t="shared" si="7"/>
        <v>3096216.0734126996</v>
      </c>
      <c r="E213" s="511">
        <f t="shared" si="11"/>
        <v>155458.54761904763</v>
      </c>
      <c r="F213" s="469">
        <f t="shared" si="6"/>
        <v>2940757.5257936521</v>
      </c>
      <c r="G213" s="935">
        <f t="shared" si="8"/>
        <v>608129.74538915057</v>
      </c>
      <c r="H213" s="938">
        <f t="shared" si="9"/>
        <v>608129.74538915057</v>
      </c>
      <c r="I213" s="509">
        <f t="shared" si="10"/>
        <v>0</v>
      </c>
      <c r="J213" s="509"/>
      <c r="K213" s="640"/>
      <c r="L213" s="514"/>
      <c r="M213" s="640"/>
      <c r="N213" s="514"/>
      <c r="O213" s="514"/>
    </row>
    <row r="214" spans="3:15">
      <c r="C214" s="505">
        <f>IF(D184="","-",+C213+1)</f>
        <v>2036</v>
      </c>
      <c r="D214" s="469">
        <f t="shared" si="7"/>
        <v>2940757.5257936521</v>
      </c>
      <c r="E214" s="511">
        <f t="shared" si="11"/>
        <v>155458.54761904763</v>
      </c>
      <c r="F214" s="469">
        <f t="shared" si="6"/>
        <v>2785298.9781746045</v>
      </c>
      <c r="G214" s="935">
        <f t="shared" si="8"/>
        <v>584816.20730657014</v>
      </c>
      <c r="H214" s="938">
        <f t="shared" si="9"/>
        <v>584816.20730657014</v>
      </c>
      <c r="I214" s="509">
        <f t="shared" si="10"/>
        <v>0</v>
      </c>
      <c r="J214" s="509"/>
      <c r="K214" s="640"/>
      <c r="L214" s="514"/>
      <c r="M214" s="640"/>
      <c r="N214" s="514"/>
      <c r="O214" s="514"/>
    </row>
    <row r="215" spans="3:15">
      <c r="C215" s="505">
        <f>IF(D184="","-",+C214+1)</f>
        <v>2037</v>
      </c>
      <c r="D215" s="469">
        <f t="shared" si="7"/>
        <v>2785298.9781746045</v>
      </c>
      <c r="E215" s="511">
        <f t="shared" si="11"/>
        <v>155458.54761904763</v>
      </c>
      <c r="F215" s="469">
        <f t="shared" si="6"/>
        <v>2629840.4305555569</v>
      </c>
      <c r="G215" s="935">
        <f t="shared" si="8"/>
        <v>561502.66922398983</v>
      </c>
      <c r="H215" s="938">
        <f t="shared" si="9"/>
        <v>561502.66922398983</v>
      </c>
      <c r="I215" s="509">
        <f t="shared" si="10"/>
        <v>0</v>
      </c>
      <c r="J215" s="509"/>
      <c r="K215" s="640"/>
      <c r="L215" s="514"/>
      <c r="M215" s="640"/>
      <c r="N215" s="514"/>
      <c r="O215" s="514"/>
    </row>
    <row r="216" spans="3:15">
      <c r="C216" s="505">
        <f>IF(D184="","-",+C215+1)</f>
        <v>2038</v>
      </c>
      <c r="D216" s="469">
        <f t="shared" si="7"/>
        <v>2629840.4305555569</v>
      </c>
      <c r="E216" s="511">
        <f t="shared" si="11"/>
        <v>155458.54761904763</v>
      </c>
      <c r="F216" s="469">
        <f t="shared" si="6"/>
        <v>2474381.8829365093</v>
      </c>
      <c r="G216" s="935">
        <f t="shared" si="8"/>
        <v>538189.13114140939</v>
      </c>
      <c r="H216" s="938">
        <f t="shared" si="9"/>
        <v>538189.13114140939</v>
      </c>
      <c r="I216" s="509">
        <f t="shared" si="10"/>
        <v>0</v>
      </c>
      <c r="J216" s="509"/>
      <c r="K216" s="640"/>
      <c r="L216" s="514"/>
      <c r="M216" s="640"/>
      <c r="N216" s="514"/>
      <c r="O216" s="514"/>
    </row>
    <row r="217" spans="3:15">
      <c r="C217" s="505">
        <f>IF(D184="","-",+C216+1)</f>
        <v>2039</v>
      </c>
      <c r="D217" s="469">
        <f t="shared" si="7"/>
        <v>2474381.8829365093</v>
      </c>
      <c r="E217" s="511">
        <f t="shared" si="11"/>
        <v>155458.54761904763</v>
      </c>
      <c r="F217" s="469">
        <f t="shared" si="6"/>
        <v>2318923.3353174618</v>
      </c>
      <c r="G217" s="935">
        <f t="shared" si="8"/>
        <v>514875.59305882896</v>
      </c>
      <c r="H217" s="938">
        <f t="shared" si="9"/>
        <v>514875.59305882896</v>
      </c>
      <c r="I217" s="509">
        <f t="shared" si="10"/>
        <v>0</v>
      </c>
      <c r="J217" s="509"/>
      <c r="K217" s="640"/>
      <c r="L217" s="514"/>
      <c r="M217" s="640"/>
      <c r="N217" s="514"/>
      <c r="O217" s="514"/>
    </row>
    <row r="218" spans="3:15">
      <c r="C218" s="505">
        <f>IF(D184="","-",+C217+1)</f>
        <v>2040</v>
      </c>
      <c r="D218" s="469">
        <f t="shared" si="7"/>
        <v>2318923.3353174618</v>
      </c>
      <c r="E218" s="511">
        <f t="shared" si="11"/>
        <v>155458.54761904763</v>
      </c>
      <c r="F218" s="469">
        <f t="shared" si="6"/>
        <v>2163464.7876984142</v>
      </c>
      <c r="G218" s="936">
        <f t="shared" si="8"/>
        <v>491562.05497624859</v>
      </c>
      <c r="H218" s="938">
        <f t="shared" si="9"/>
        <v>491562.05497624859</v>
      </c>
      <c r="I218" s="509">
        <f t="shared" si="10"/>
        <v>0</v>
      </c>
      <c r="J218" s="509"/>
      <c r="K218" s="640"/>
      <c r="L218" s="514"/>
      <c r="M218" s="640"/>
      <c r="N218" s="514"/>
      <c r="O218" s="514"/>
    </row>
    <row r="219" spans="3:15">
      <c r="C219" s="505">
        <f>IF(D184="","-",+C218+1)</f>
        <v>2041</v>
      </c>
      <c r="D219" s="469">
        <f t="shared" si="7"/>
        <v>2163464.7876984142</v>
      </c>
      <c r="E219" s="511">
        <f t="shared" si="11"/>
        <v>155458.54761904763</v>
      </c>
      <c r="F219" s="469">
        <f t="shared" si="6"/>
        <v>2008006.2400793666</v>
      </c>
      <c r="G219" s="935">
        <f t="shared" si="8"/>
        <v>468248.51689366822</v>
      </c>
      <c r="H219" s="938">
        <f t="shared" si="9"/>
        <v>468248.51689366822</v>
      </c>
      <c r="I219" s="509">
        <f t="shared" si="10"/>
        <v>0</v>
      </c>
      <c r="J219" s="509"/>
      <c r="K219" s="640"/>
      <c r="L219" s="514"/>
      <c r="M219" s="640"/>
      <c r="N219" s="514"/>
      <c r="O219" s="514"/>
    </row>
    <row r="220" spans="3:15">
      <c r="C220" s="505">
        <f>IF(D184="","-",+C219+1)</f>
        <v>2042</v>
      </c>
      <c r="D220" s="469">
        <f t="shared" si="7"/>
        <v>2008006.2400793666</v>
      </c>
      <c r="E220" s="511">
        <f t="shared" si="11"/>
        <v>155458.54761904763</v>
      </c>
      <c r="F220" s="469">
        <f t="shared" si="6"/>
        <v>1852547.692460319</v>
      </c>
      <c r="G220" s="935">
        <f t="shared" si="8"/>
        <v>444934.97881108779</v>
      </c>
      <c r="H220" s="938">
        <f t="shared" si="9"/>
        <v>444934.97881108779</v>
      </c>
      <c r="I220" s="509">
        <f t="shared" si="10"/>
        <v>0</v>
      </c>
      <c r="J220" s="509"/>
      <c r="K220" s="640"/>
      <c r="L220" s="514"/>
      <c r="M220" s="640"/>
      <c r="N220" s="514"/>
      <c r="O220" s="514"/>
    </row>
    <row r="221" spans="3:15">
      <c r="C221" s="505">
        <f>IF(D184="","-",+C220+1)</f>
        <v>2043</v>
      </c>
      <c r="D221" s="469">
        <f t="shared" si="7"/>
        <v>1852547.692460319</v>
      </c>
      <c r="E221" s="511">
        <f t="shared" si="11"/>
        <v>155458.54761904763</v>
      </c>
      <c r="F221" s="469">
        <f t="shared" si="6"/>
        <v>1697089.1448412715</v>
      </c>
      <c r="G221" s="935">
        <f t="shared" si="8"/>
        <v>421621.44072850741</v>
      </c>
      <c r="H221" s="938">
        <f t="shared" si="9"/>
        <v>421621.44072850741</v>
      </c>
      <c r="I221" s="509">
        <f t="shared" si="10"/>
        <v>0</v>
      </c>
      <c r="J221" s="509"/>
      <c r="K221" s="640"/>
      <c r="L221" s="514"/>
      <c r="M221" s="640"/>
      <c r="N221" s="514"/>
      <c r="O221" s="514"/>
    </row>
    <row r="222" spans="3:15">
      <c r="C222" s="505">
        <f>IF(D184="","-",+C221+1)</f>
        <v>2044</v>
      </c>
      <c r="D222" s="469">
        <f t="shared" si="7"/>
        <v>1697089.1448412715</v>
      </c>
      <c r="E222" s="511">
        <f t="shared" si="11"/>
        <v>155458.54761904763</v>
      </c>
      <c r="F222" s="469">
        <f t="shared" si="6"/>
        <v>1541630.5972222239</v>
      </c>
      <c r="G222" s="935">
        <f t="shared" si="8"/>
        <v>398307.90264592704</v>
      </c>
      <c r="H222" s="938">
        <f t="shared" si="9"/>
        <v>398307.90264592704</v>
      </c>
      <c r="I222" s="509">
        <f t="shared" si="10"/>
        <v>0</v>
      </c>
      <c r="J222" s="509"/>
      <c r="K222" s="640"/>
      <c r="L222" s="514"/>
      <c r="M222" s="640"/>
      <c r="N222" s="514"/>
      <c r="O222" s="514"/>
    </row>
    <row r="223" spans="3:15">
      <c r="C223" s="505">
        <f>IF(D184="","-",+C222+1)</f>
        <v>2045</v>
      </c>
      <c r="D223" s="469">
        <f t="shared" si="7"/>
        <v>1541630.5972222239</v>
      </c>
      <c r="E223" s="511">
        <f t="shared" si="11"/>
        <v>155458.54761904763</v>
      </c>
      <c r="F223" s="469">
        <f t="shared" si="6"/>
        <v>1386172.0496031763</v>
      </c>
      <c r="G223" s="935">
        <f t="shared" si="8"/>
        <v>374994.36456334661</v>
      </c>
      <c r="H223" s="938">
        <f t="shared" si="9"/>
        <v>374994.36456334661</v>
      </c>
      <c r="I223" s="509">
        <f t="shared" si="10"/>
        <v>0</v>
      </c>
      <c r="J223" s="509"/>
      <c r="K223" s="640"/>
      <c r="L223" s="514"/>
      <c r="M223" s="640"/>
      <c r="N223" s="514"/>
      <c r="O223" s="514"/>
    </row>
    <row r="224" spans="3:15">
      <c r="C224" s="505">
        <f>IF(D184="","-",+C223+1)</f>
        <v>2046</v>
      </c>
      <c r="D224" s="469">
        <f t="shared" si="7"/>
        <v>1386172.0496031763</v>
      </c>
      <c r="E224" s="511">
        <f t="shared" si="11"/>
        <v>155458.54761904763</v>
      </c>
      <c r="F224" s="469">
        <f t="shared" si="6"/>
        <v>1230713.5019841287</v>
      </c>
      <c r="G224" s="935">
        <f t="shared" si="8"/>
        <v>351680.82648076623</v>
      </c>
      <c r="H224" s="938">
        <f t="shared" si="9"/>
        <v>351680.82648076623</v>
      </c>
      <c r="I224" s="509">
        <f t="shared" si="10"/>
        <v>0</v>
      </c>
      <c r="J224" s="509"/>
      <c r="K224" s="640"/>
      <c r="L224" s="514"/>
      <c r="M224" s="640"/>
      <c r="N224" s="514"/>
      <c r="O224" s="514"/>
    </row>
    <row r="225" spans="3:15">
      <c r="C225" s="505">
        <f>IF(D184="","-",+C224+1)</f>
        <v>2047</v>
      </c>
      <c r="D225" s="469">
        <f t="shared" si="7"/>
        <v>1230713.5019841287</v>
      </c>
      <c r="E225" s="511">
        <f t="shared" si="11"/>
        <v>155458.54761904763</v>
      </c>
      <c r="F225" s="469">
        <f t="shared" si="6"/>
        <v>1075254.9543650812</v>
      </c>
      <c r="G225" s="935">
        <f t="shared" si="8"/>
        <v>328367.28839818586</v>
      </c>
      <c r="H225" s="938">
        <f t="shared" si="9"/>
        <v>328367.28839818586</v>
      </c>
      <c r="I225" s="509">
        <f t="shared" si="10"/>
        <v>0</v>
      </c>
      <c r="J225" s="509"/>
      <c r="K225" s="640"/>
      <c r="L225" s="514"/>
      <c r="M225" s="640"/>
      <c r="N225" s="514"/>
      <c r="O225" s="514"/>
    </row>
    <row r="226" spans="3:15">
      <c r="C226" s="505">
        <f>IF(D184="","-",+C225+1)</f>
        <v>2048</v>
      </c>
      <c r="D226" s="469">
        <f t="shared" si="7"/>
        <v>1075254.9543650812</v>
      </c>
      <c r="E226" s="511">
        <f t="shared" si="11"/>
        <v>155458.54761904763</v>
      </c>
      <c r="F226" s="469">
        <f t="shared" si="6"/>
        <v>919796.40674603358</v>
      </c>
      <c r="G226" s="935">
        <f t="shared" si="8"/>
        <v>305053.75031560543</v>
      </c>
      <c r="H226" s="938">
        <f t="shared" si="9"/>
        <v>305053.75031560543</v>
      </c>
      <c r="I226" s="509">
        <f t="shared" si="10"/>
        <v>0</v>
      </c>
      <c r="J226" s="509"/>
      <c r="K226" s="640"/>
      <c r="L226" s="514"/>
      <c r="M226" s="640"/>
      <c r="N226" s="514"/>
      <c r="O226" s="514"/>
    </row>
    <row r="227" spans="3:15">
      <c r="C227" s="505">
        <f>IF(D184="","-",+C226+1)</f>
        <v>2049</v>
      </c>
      <c r="D227" s="469">
        <f t="shared" si="7"/>
        <v>919796.40674603358</v>
      </c>
      <c r="E227" s="511">
        <f t="shared" si="11"/>
        <v>155458.54761904763</v>
      </c>
      <c r="F227" s="469">
        <f t="shared" si="6"/>
        <v>764337.859126986</v>
      </c>
      <c r="G227" s="935">
        <f t="shared" si="8"/>
        <v>281740.21223302506</v>
      </c>
      <c r="H227" s="938">
        <f t="shared" si="9"/>
        <v>281740.21223302506</v>
      </c>
      <c r="I227" s="509">
        <f t="shared" si="10"/>
        <v>0</v>
      </c>
      <c r="J227" s="509"/>
      <c r="K227" s="640"/>
      <c r="L227" s="514"/>
      <c r="M227" s="640"/>
      <c r="N227" s="514"/>
      <c r="O227" s="514"/>
    </row>
    <row r="228" spans="3:15">
      <c r="C228" s="505">
        <f>IF(D184="","-",+C227+1)</f>
        <v>2050</v>
      </c>
      <c r="D228" s="469">
        <f t="shared" si="7"/>
        <v>764337.859126986</v>
      </c>
      <c r="E228" s="511">
        <f t="shared" si="11"/>
        <v>155458.54761904763</v>
      </c>
      <c r="F228" s="469">
        <f t="shared" si="6"/>
        <v>608879.31150793843</v>
      </c>
      <c r="G228" s="935">
        <f t="shared" si="8"/>
        <v>258426.67415044468</v>
      </c>
      <c r="H228" s="938">
        <f t="shared" si="9"/>
        <v>258426.67415044468</v>
      </c>
      <c r="I228" s="509">
        <f t="shared" si="10"/>
        <v>0</v>
      </c>
      <c r="J228" s="509"/>
      <c r="K228" s="640"/>
      <c r="L228" s="514"/>
      <c r="M228" s="640"/>
      <c r="N228" s="514"/>
      <c r="O228" s="514"/>
    </row>
    <row r="229" spans="3:15">
      <c r="C229" s="505">
        <f>IF(D184="","-",+C228+1)</f>
        <v>2051</v>
      </c>
      <c r="D229" s="469">
        <f t="shared" si="7"/>
        <v>608879.31150793843</v>
      </c>
      <c r="E229" s="511">
        <f t="shared" si="11"/>
        <v>155458.54761904763</v>
      </c>
      <c r="F229" s="469">
        <f t="shared" si="6"/>
        <v>453420.7638888908</v>
      </c>
      <c r="G229" s="935">
        <f t="shared" si="8"/>
        <v>235113.13606786428</v>
      </c>
      <c r="H229" s="938">
        <f t="shared" si="9"/>
        <v>235113.13606786428</v>
      </c>
      <c r="I229" s="509">
        <f t="shared" si="10"/>
        <v>0</v>
      </c>
      <c r="J229" s="509"/>
      <c r="K229" s="640"/>
      <c r="L229" s="514"/>
      <c r="M229" s="640"/>
      <c r="N229" s="514"/>
      <c r="O229" s="514"/>
    </row>
    <row r="230" spans="3:15">
      <c r="C230" s="505">
        <f>IF(D184="","-",+C229+1)</f>
        <v>2052</v>
      </c>
      <c r="D230" s="469">
        <f t="shared" si="7"/>
        <v>453420.7638888908</v>
      </c>
      <c r="E230" s="511">
        <f t="shared" si="11"/>
        <v>155458.54761904763</v>
      </c>
      <c r="F230" s="469">
        <f t="shared" si="6"/>
        <v>297962.21626984316</v>
      </c>
      <c r="G230" s="935">
        <f t="shared" si="8"/>
        <v>211799.59798528388</v>
      </c>
      <c r="H230" s="938">
        <f t="shared" si="9"/>
        <v>211799.59798528388</v>
      </c>
      <c r="I230" s="509">
        <f t="shared" si="10"/>
        <v>0</v>
      </c>
      <c r="J230" s="509"/>
      <c r="K230" s="640"/>
      <c r="L230" s="514"/>
      <c r="M230" s="640"/>
      <c r="N230" s="514"/>
      <c r="O230" s="514"/>
    </row>
    <row r="231" spans="3:15">
      <c r="C231" s="505">
        <f>IF(D184="","-",+C230+1)</f>
        <v>2053</v>
      </c>
      <c r="D231" s="469">
        <f t="shared" si="7"/>
        <v>297962.21626984316</v>
      </c>
      <c r="E231" s="511">
        <f t="shared" si="11"/>
        <v>155458.54761904763</v>
      </c>
      <c r="F231" s="469">
        <f t="shared" si="6"/>
        <v>142503.66865079553</v>
      </c>
      <c r="G231" s="935">
        <f t="shared" si="8"/>
        <v>188486.05990270348</v>
      </c>
      <c r="H231" s="938">
        <f t="shared" si="9"/>
        <v>188486.05990270348</v>
      </c>
      <c r="I231" s="509">
        <f t="shared" si="10"/>
        <v>0</v>
      </c>
      <c r="J231" s="509"/>
      <c r="K231" s="640"/>
      <c r="L231" s="514"/>
      <c r="M231" s="640"/>
      <c r="N231" s="514"/>
      <c r="O231" s="514"/>
    </row>
    <row r="232" spans="3:15">
      <c r="C232" s="505">
        <f>IF(D184="","-",+C231+1)</f>
        <v>2054</v>
      </c>
      <c r="D232" s="469">
        <f t="shared" si="7"/>
        <v>142503.66865079553</v>
      </c>
      <c r="E232" s="511">
        <f t="shared" si="11"/>
        <v>142503.66865079553</v>
      </c>
      <c r="F232" s="469">
        <f t="shared" si="6"/>
        <v>0</v>
      </c>
      <c r="G232" s="935">
        <f t="shared" si="8"/>
        <v>153189.04027197836</v>
      </c>
      <c r="H232" s="938">
        <f t="shared" si="9"/>
        <v>153189.04027197836</v>
      </c>
      <c r="I232" s="509">
        <f t="shared" si="10"/>
        <v>0</v>
      </c>
      <c r="J232" s="509"/>
      <c r="K232" s="640"/>
      <c r="L232" s="514"/>
      <c r="M232" s="640"/>
      <c r="N232" s="514"/>
      <c r="O232" s="514"/>
    </row>
    <row r="233" spans="3:15">
      <c r="C233" s="505">
        <f>IF(D184="","-",+C232+1)</f>
        <v>2055</v>
      </c>
      <c r="D233" s="469">
        <f t="shared" si="7"/>
        <v>0</v>
      </c>
      <c r="E233" s="511">
        <f t="shared" si="11"/>
        <v>0</v>
      </c>
      <c r="F233" s="469">
        <f t="shared" si="6"/>
        <v>0</v>
      </c>
      <c r="G233" s="935">
        <f t="shared" si="8"/>
        <v>0</v>
      </c>
      <c r="H233" s="938">
        <f t="shared" si="9"/>
        <v>0</v>
      </c>
      <c r="I233" s="509">
        <f t="shared" si="10"/>
        <v>0</v>
      </c>
      <c r="J233" s="509"/>
      <c r="K233" s="640"/>
      <c r="L233" s="514"/>
      <c r="M233" s="640"/>
      <c r="N233" s="514"/>
      <c r="O233" s="514"/>
    </row>
    <row r="234" spans="3:15">
      <c r="C234" s="505">
        <f>IF(D184="","-",+C233+1)</f>
        <v>2056</v>
      </c>
      <c r="D234" s="469">
        <f t="shared" si="7"/>
        <v>0</v>
      </c>
      <c r="E234" s="511">
        <f t="shared" si="11"/>
        <v>0</v>
      </c>
      <c r="F234" s="469">
        <f t="shared" si="6"/>
        <v>0</v>
      </c>
      <c r="G234" s="935">
        <f t="shared" si="8"/>
        <v>0</v>
      </c>
      <c r="H234" s="938">
        <f t="shared" si="9"/>
        <v>0</v>
      </c>
      <c r="I234" s="509">
        <f t="shared" si="10"/>
        <v>0</v>
      </c>
      <c r="J234" s="509"/>
      <c r="K234" s="640"/>
      <c r="L234" s="514"/>
      <c r="M234" s="640"/>
      <c r="N234" s="514"/>
      <c r="O234" s="514"/>
    </row>
    <row r="235" spans="3:15">
      <c r="C235" s="505">
        <f>IF(D184="","-",+C234+1)</f>
        <v>2057</v>
      </c>
      <c r="D235" s="469">
        <f t="shared" si="7"/>
        <v>0</v>
      </c>
      <c r="E235" s="511">
        <f t="shared" si="11"/>
        <v>0</v>
      </c>
      <c r="F235" s="469">
        <f t="shared" si="6"/>
        <v>0</v>
      </c>
      <c r="G235" s="935">
        <f t="shared" si="8"/>
        <v>0</v>
      </c>
      <c r="H235" s="938">
        <f t="shared" si="9"/>
        <v>0</v>
      </c>
      <c r="I235" s="509">
        <f t="shared" si="10"/>
        <v>0</v>
      </c>
      <c r="J235" s="509"/>
      <c r="K235" s="640"/>
      <c r="L235" s="514"/>
      <c r="M235" s="640"/>
      <c r="N235" s="514"/>
      <c r="O235" s="514"/>
    </row>
    <row r="236" spans="3:15">
      <c r="C236" s="505">
        <f>IF(D184="","-",+C235+1)</f>
        <v>2058</v>
      </c>
      <c r="D236" s="469">
        <f t="shared" si="7"/>
        <v>0</v>
      </c>
      <c r="E236" s="511">
        <f t="shared" si="11"/>
        <v>0</v>
      </c>
      <c r="F236" s="469">
        <f t="shared" si="6"/>
        <v>0</v>
      </c>
      <c r="G236" s="935">
        <f t="shared" si="8"/>
        <v>0</v>
      </c>
      <c r="H236" s="938">
        <f t="shared" si="9"/>
        <v>0</v>
      </c>
      <c r="I236" s="509">
        <f t="shared" si="10"/>
        <v>0</v>
      </c>
      <c r="J236" s="509"/>
      <c r="K236" s="640"/>
      <c r="L236" s="514"/>
      <c r="M236" s="640"/>
      <c r="N236" s="514"/>
      <c r="O236" s="514"/>
    </row>
    <row r="237" spans="3:15">
      <c r="C237" s="505">
        <f>IF(D184="","-",+C236+1)</f>
        <v>2059</v>
      </c>
      <c r="D237" s="469">
        <f t="shared" si="7"/>
        <v>0</v>
      </c>
      <c r="E237" s="511">
        <f t="shared" si="11"/>
        <v>0</v>
      </c>
      <c r="F237" s="469">
        <f t="shared" si="6"/>
        <v>0</v>
      </c>
      <c r="G237" s="935">
        <f t="shared" si="8"/>
        <v>0</v>
      </c>
      <c r="H237" s="938">
        <f t="shared" si="9"/>
        <v>0</v>
      </c>
      <c r="I237" s="509">
        <f t="shared" si="10"/>
        <v>0</v>
      </c>
      <c r="J237" s="509"/>
      <c r="K237" s="640"/>
      <c r="L237" s="514"/>
      <c r="M237" s="640"/>
      <c r="N237" s="514"/>
      <c r="O237" s="514"/>
    </row>
    <row r="238" spans="3:15">
      <c r="C238" s="505">
        <f>IF(D184="","-",+C237+1)</f>
        <v>2060</v>
      </c>
      <c r="D238" s="469">
        <f t="shared" si="7"/>
        <v>0</v>
      </c>
      <c r="E238" s="511">
        <f t="shared" si="11"/>
        <v>0</v>
      </c>
      <c r="F238" s="469">
        <f t="shared" si="6"/>
        <v>0</v>
      </c>
      <c r="G238" s="935">
        <f t="shared" si="8"/>
        <v>0</v>
      </c>
      <c r="H238" s="938">
        <f t="shared" si="9"/>
        <v>0</v>
      </c>
      <c r="I238" s="509">
        <f t="shared" si="10"/>
        <v>0</v>
      </c>
      <c r="J238" s="509"/>
      <c r="K238" s="640"/>
      <c r="L238" s="514"/>
      <c r="M238" s="640"/>
      <c r="N238" s="514"/>
      <c r="O238" s="514"/>
    </row>
    <row r="239" spans="3:15">
      <c r="C239" s="505">
        <f>IF(D184="","-",+C238+1)</f>
        <v>2061</v>
      </c>
      <c r="D239" s="469">
        <f t="shared" si="7"/>
        <v>0</v>
      </c>
      <c r="E239" s="511">
        <f t="shared" si="11"/>
        <v>0</v>
      </c>
      <c r="F239" s="469">
        <f t="shared" si="6"/>
        <v>0</v>
      </c>
      <c r="G239" s="935">
        <f t="shared" si="8"/>
        <v>0</v>
      </c>
      <c r="H239" s="938">
        <f t="shared" si="9"/>
        <v>0</v>
      </c>
      <c r="I239" s="509">
        <f t="shared" si="10"/>
        <v>0</v>
      </c>
      <c r="J239" s="509"/>
      <c r="K239" s="640"/>
      <c r="L239" s="514"/>
      <c r="M239" s="640"/>
      <c r="N239" s="514"/>
      <c r="O239" s="514"/>
    </row>
    <row r="240" spans="3:15">
      <c r="C240" s="505">
        <f>IF(D184="","-",+C239+1)</f>
        <v>2062</v>
      </c>
      <c r="D240" s="469">
        <f t="shared" si="7"/>
        <v>0</v>
      </c>
      <c r="E240" s="511">
        <f t="shared" si="11"/>
        <v>0</v>
      </c>
      <c r="F240" s="469">
        <f t="shared" si="6"/>
        <v>0</v>
      </c>
      <c r="G240" s="935">
        <f t="shared" si="8"/>
        <v>0</v>
      </c>
      <c r="H240" s="938">
        <f t="shared" si="9"/>
        <v>0</v>
      </c>
      <c r="I240" s="509">
        <f t="shared" si="10"/>
        <v>0</v>
      </c>
      <c r="J240" s="509"/>
      <c r="K240" s="640"/>
      <c r="L240" s="514"/>
      <c r="M240" s="640"/>
      <c r="N240" s="514"/>
      <c r="O240" s="514"/>
    </row>
    <row r="241" spans="3:15">
      <c r="C241" s="505">
        <f>IF(D184="","-",+C240+1)</f>
        <v>2063</v>
      </c>
      <c r="D241" s="469">
        <f t="shared" si="7"/>
        <v>0</v>
      </c>
      <c r="E241" s="511">
        <f t="shared" si="11"/>
        <v>0</v>
      </c>
      <c r="F241" s="469">
        <f t="shared" si="6"/>
        <v>0</v>
      </c>
      <c r="G241" s="935">
        <f t="shared" si="8"/>
        <v>0</v>
      </c>
      <c r="H241" s="938">
        <f t="shared" si="9"/>
        <v>0</v>
      </c>
      <c r="I241" s="509">
        <f t="shared" si="10"/>
        <v>0</v>
      </c>
      <c r="J241" s="509"/>
      <c r="K241" s="640"/>
      <c r="L241" s="514"/>
      <c r="M241" s="640"/>
      <c r="N241" s="514"/>
      <c r="O241" s="514"/>
    </row>
    <row r="242" spans="3:15">
      <c r="C242" s="505">
        <f>IF(D184="","-",+C241+1)</f>
        <v>2064</v>
      </c>
      <c r="D242" s="469">
        <f t="shared" si="7"/>
        <v>0</v>
      </c>
      <c r="E242" s="511">
        <f t="shared" si="11"/>
        <v>0</v>
      </c>
      <c r="F242" s="469">
        <f t="shared" si="6"/>
        <v>0</v>
      </c>
      <c r="G242" s="935">
        <f t="shared" si="8"/>
        <v>0</v>
      </c>
      <c r="H242" s="938">
        <f t="shared" si="9"/>
        <v>0</v>
      </c>
      <c r="I242" s="509">
        <f t="shared" si="10"/>
        <v>0</v>
      </c>
      <c r="J242" s="509"/>
      <c r="K242" s="640"/>
      <c r="L242" s="514"/>
      <c r="M242" s="640"/>
      <c r="N242" s="514"/>
      <c r="O242" s="514"/>
    </row>
    <row r="243" spans="3:15">
      <c r="C243" s="505">
        <f>IF(D184="","-",+C242+1)</f>
        <v>2065</v>
      </c>
      <c r="D243" s="469">
        <f t="shared" si="7"/>
        <v>0</v>
      </c>
      <c r="E243" s="511">
        <f t="shared" si="11"/>
        <v>0</v>
      </c>
      <c r="F243" s="469">
        <f t="shared" si="6"/>
        <v>0</v>
      </c>
      <c r="G243" s="935">
        <f t="shared" si="8"/>
        <v>0</v>
      </c>
      <c r="H243" s="938">
        <f t="shared" si="9"/>
        <v>0</v>
      </c>
      <c r="I243" s="509">
        <f t="shared" si="10"/>
        <v>0</v>
      </c>
      <c r="J243" s="509"/>
      <c r="K243" s="640"/>
      <c r="L243" s="514"/>
      <c r="M243" s="640"/>
      <c r="N243" s="514"/>
      <c r="O243" s="514"/>
    </row>
    <row r="244" spans="3:15">
      <c r="C244" s="505">
        <f>IF(D184="","-",+C243+1)</f>
        <v>2066</v>
      </c>
      <c r="D244" s="469">
        <f t="shared" si="7"/>
        <v>0</v>
      </c>
      <c r="E244" s="511">
        <f t="shared" si="11"/>
        <v>0</v>
      </c>
      <c r="F244" s="469">
        <f t="shared" si="6"/>
        <v>0</v>
      </c>
      <c r="G244" s="935">
        <f t="shared" si="8"/>
        <v>0</v>
      </c>
      <c r="H244" s="938">
        <f t="shared" si="9"/>
        <v>0</v>
      </c>
      <c r="I244" s="509">
        <f t="shared" si="10"/>
        <v>0</v>
      </c>
      <c r="J244" s="509"/>
      <c r="K244" s="640"/>
      <c r="L244" s="514"/>
      <c r="M244" s="640"/>
      <c r="N244" s="514"/>
      <c r="O244" s="514"/>
    </row>
    <row r="245" spans="3:15">
      <c r="C245" s="505">
        <f>IF(D184="","-",+C244+1)</f>
        <v>2067</v>
      </c>
      <c r="D245" s="469">
        <f t="shared" si="7"/>
        <v>0</v>
      </c>
      <c r="E245" s="511">
        <f t="shared" si="11"/>
        <v>0</v>
      </c>
      <c r="F245" s="469">
        <f t="shared" si="6"/>
        <v>0</v>
      </c>
      <c r="G245" s="935">
        <f t="shared" si="8"/>
        <v>0</v>
      </c>
      <c r="H245" s="938">
        <f t="shared" si="9"/>
        <v>0</v>
      </c>
      <c r="I245" s="509">
        <f t="shared" si="10"/>
        <v>0</v>
      </c>
      <c r="J245" s="509"/>
      <c r="K245" s="640"/>
      <c r="L245" s="514"/>
      <c r="M245" s="640"/>
      <c r="N245" s="514"/>
      <c r="O245" s="514"/>
    </row>
    <row r="246" spans="3:15">
      <c r="C246" s="505">
        <f>IF(D184="","-",+C245+1)</f>
        <v>2068</v>
      </c>
      <c r="D246" s="469">
        <f t="shared" si="7"/>
        <v>0</v>
      </c>
      <c r="E246" s="511">
        <f t="shared" si="11"/>
        <v>0</v>
      </c>
      <c r="F246" s="469">
        <f t="shared" si="6"/>
        <v>0</v>
      </c>
      <c r="G246" s="935">
        <f t="shared" si="8"/>
        <v>0</v>
      </c>
      <c r="H246" s="938">
        <f t="shared" si="9"/>
        <v>0</v>
      </c>
      <c r="I246" s="509">
        <f t="shared" si="10"/>
        <v>0</v>
      </c>
      <c r="J246" s="509"/>
      <c r="K246" s="640"/>
      <c r="L246" s="514"/>
      <c r="M246" s="640"/>
      <c r="N246" s="514"/>
      <c r="O246" s="514"/>
    </row>
    <row r="247" spans="3:15">
      <c r="C247" s="505">
        <f>IF(D184="","-",+C246+1)</f>
        <v>2069</v>
      </c>
      <c r="D247" s="469">
        <f t="shared" si="7"/>
        <v>0</v>
      </c>
      <c r="E247" s="511">
        <f t="shared" si="11"/>
        <v>0</v>
      </c>
      <c r="F247" s="469">
        <f t="shared" si="6"/>
        <v>0</v>
      </c>
      <c r="G247" s="935">
        <f t="shared" si="8"/>
        <v>0</v>
      </c>
      <c r="H247" s="938">
        <f t="shared" si="9"/>
        <v>0</v>
      </c>
      <c r="I247" s="509">
        <f t="shared" si="10"/>
        <v>0</v>
      </c>
      <c r="J247" s="509"/>
      <c r="K247" s="640"/>
      <c r="L247" s="514"/>
      <c r="M247" s="640"/>
      <c r="N247" s="514"/>
      <c r="O247" s="514"/>
    </row>
    <row r="248" spans="3:15">
      <c r="C248" s="505">
        <f>IF(D184="","-",+C247+1)</f>
        <v>2070</v>
      </c>
      <c r="D248" s="469">
        <f t="shared" si="7"/>
        <v>0</v>
      </c>
      <c r="E248" s="511">
        <f t="shared" si="11"/>
        <v>0</v>
      </c>
      <c r="F248" s="469">
        <f t="shared" si="6"/>
        <v>0</v>
      </c>
      <c r="G248" s="935">
        <f t="shared" si="8"/>
        <v>0</v>
      </c>
      <c r="H248" s="938">
        <f t="shared" si="9"/>
        <v>0</v>
      </c>
      <c r="I248" s="509">
        <f t="shared" si="10"/>
        <v>0</v>
      </c>
      <c r="J248" s="509"/>
      <c r="K248" s="640"/>
      <c r="L248" s="514"/>
      <c r="M248" s="640"/>
      <c r="N248" s="514"/>
      <c r="O248" s="514"/>
    </row>
    <row r="249" spans="3:15" ht="13.5" thickBot="1">
      <c r="C249" s="515">
        <f>IF(D184="","-",+C248+1)</f>
        <v>2071</v>
      </c>
      <c r="D249" s="516">
        <f t="shared" si="7"/>
        <v>0</v>
      </c>
      <c r="E249" s="517">
        <f t="shared" si="11"/>
        <v>0</v>
      </c>
      <c r="F249" s="516">
        <f t="shared" si="6"/>
        <v>0</v>
      </c>
      <c r="G249" s="946">
        <f t="shared" si="8"/>
        <v>0</v>
      </c>
      <c r="H249" s="946">
        <f t="shared" si="9"/>
        <v>0</v>
      </c>
      <c r="I249" s="519">
        <f t="shared" si="10"/>
        <v>0</v>
      </c>
      <c r="J249" s="509"/>
      <c r="K249" s="641"/>
      <c r="L249" s="521"/>
      <c r="M249" s="641"/>
      <c r="N249" s="521"/>
      <c r="O249" s="521"/>
    </row>
    <row r="250" spans="3:15">
      <c r="C250" s="469" t="s">
        <v>288</v>
      </c>
      <c r="D250" s="915"/>
      <c r="E250" s="469"/>
      <c r="F250" s="915"/>
      <c r="G250" s="915">
        <f>SUM(G190:G249)</f>
        <v>27989370.80501527</v>
      </c>
      <c r="H250" s="915">
        <f>SUM(H190:H249)</f>
        <v>27989370.80501527</v>
      </c>
      <c r="I250" s="915">
        <f>SUM(I190:I249)</f>
        <v>0</v>
      </c>
      <c r="J250" s="915"/>
      <c r="K250" s="915"/>
      <c r="L250" s="915"/>
      <c r="M250" s="915"/>
      <c r="N250" s="915"/>
      <c r="O250" s="4"/>
    </row>
    <row r="251" spans="3:15">
      <c r="D251" s="79"/>
      <c r="E251" s="4"/>
      <c r="F251" s="4"/>
      <c r="G251" s="4"/>
      <c r="H251" s="914"/>
      <c r="I251" s="914"/>
      <c r="J251" s="915"/>
      <c r="K251" s="914"/>
      <c r="L251" s="914"/>
      <c r="M251" s="914"/>
      <c r="N251" s="914"/>
      <c r="O251" s="4"/>
    </row>
    <row r="252" spans="3:15">
      <c r="C252" s="4" t="s">
        <v>595</v>
      </c>
      <c r="D252" s="79"/>
      <c r="E252" s="4"/>
      <c r="F252" s="4"/>
      <c r="G252" s="4"/>
      <c r="H252" s="914"/>
      <c r="I252" s="914"/>
      <c r="J252" s="915"/>
      <c r="K252" s="914"/>
      <c r="L252" s="914"/>
      <c r="M252" s="914"/>
      <c r="N252" s="914"/>
      <c r="O252" s="4"/>
    </row>
    <row r="253" spans="3:15">
      <c r="C253" s="4"/>
      <c r="D253" s="79"/>
      <c r="E253" s="4"/>
      <c r="F253" s="4"/>
      <c r="G253" s="4"/>
      <c r="H253" s="914"/>
      <c r="I253" s="914"/>
      <c r="J253" s="915"/>
      <c r="K253" s="914"/>
      <c r="L253" s="914"/>
      <c r="M253" s="914"/>
      <c r="N253" s="914"/>
      <c r="O253" s="4"/>
    </row>
    <row r="254" spans="3:15">
      <c r="C254" s="479" t="s">
        <v>924</v>
      </c>
      <c r="D254" s="469"/>
      <c r="E254" s="469"/>
      <c r="F254" s="469"/>
      <c r="G254" s="915"/>
      <c r="H254" s="915"/>
      <c r="I254" s="471"/>
      <c r="J254" s="471"/>
      <c r="K254" s="471"/>
      <c r="L254" s="471"/>
      <c r="M254" s="471"/>
      <c r="N254" s="471"/>
      <c r="O254" s="4"/>
    </row>
    <row r="255" spans="3:15">
      <c r="C255" s="479" t="s">
        <v>476</v>
      </c>
      <c r="D255" s="469"/>
      <c r="E255" s="469"/>
      <c r="F255" s="469"/>
      <c r="G255" s="915"/>
      <c r="H255" s="915"/>
      <c r="I255" s="471"/>
      <c r="J255" s="471"/>
      <c r="K255" s="471"/>
      <c r="L255" s="471"/>
      <c r="M255" s="471"/>
      <c r="N255" s="471"/>
      <c r="O255" s="4"/>
    </row>
    <row r="256" spans="3:15">
      <c r="C256" s="470" t="s">
        <v>289</v>
      </c>
      <c r="D256" s="469"/>
      <c r="E256" s="469"/>
      <c r="F256" s="469"/>
      <c r="G256" s="915"/>
      <c r="H256" s="915"/>
      <c r="I256" s="471"/>
      <c r="J256" s="471"/>
      <c r="K256" s="471"/>
      <c r="L256" s="471"/>
      <c r="M256" s="471"/>
      <c r="N256" s="471"/>
      <c r="O256" s="4"/>
    </row>
    <row r="257" spans="1:16">
      <c r="C257" s="470"/>
      <c r="D257" s="469"/>
      <c r="E257" s="469"/>
      <c r="F257" s="469"/>
      <c r="G257" s="915"/>
      <c r="H257" s="915"/>
      <c r="I257" s="471"/>
      <c r="J257" s="471"/>
      <c r="K257" s="471"/>
      <c r="L257" s="471"/>
      <c r="M257" s="471"/>
      <c r="N257" s="471"/>
      <c r="O257" s="4"/>
    </row>
    <row r="258" spans="1:16">
      <c r="C258" s="1275" t="s">
        <v>460</v>
      </c>
      <c r="D258" s="1275"/>
      <c r="E258" s="1275"/>
      <c r="F258" s="1275"/>
      <c r="G258" s="1275"/>
      <c r="H258" s="1275"/>
      <c r="I258" s="1275"/>
      <c r="J258" s="1275"/>
      <c r="K258" s="1275"/>
      <c r="L258" s="1275"/>
      <c r="M258" s="1275"/>
      <c r="N258" s="1275"/>
      <c r="O258" s="1275"/>
    </row>
    <row r="259" spans="1:16">
      <c r="C259" s="1275"/>
      <c r="D259" s="1275"/>
      <c r="E259" s="1275"/>
      <c r="F259" s="1275"/>
      <c r="G259" s="1275"/>
      <c r="H259" s="1275"/>
      <c r="I259" s="1275"/>
      <c r="J259" s="1275"/>
      <c r="K259" s="1275"/>
      <c r="L259" s="1275"/>
      <c r="M259" s="1275"/>
      <c r="N259" s="1275"/>
      <c r="O259" s="1275"/>
    </row>
    <row r="260" spans="1:16" ht="18">
      <c r="H260" s="947"/>
      <c r="N260" s="11" t="str">
        <f>"Page "&amp;SUM(P$6:P260)&amp;" of "</f>
        <v xml:space="preserve">Page 3 of </v>
      </c>
      <c r="O260" s="412">
        <f>COUNT(P$6:P$59579)</f>
        <v>22</v>
      </c>
      <c r="P260" s="4">
        <v>1</v>
      </c>
    </row>
    <row r="261" spans="1:16" ht="20.25">
      <c r="A261" s="411" t="s">
        <v>921</v>
      </c>
      <c r="B261" s="4"/>
      <c r="C261" s="4"/>
      <c r="D261" s="79"/>
      <c r="E261" s="4"/>
      <c r="F261" s="81"/>
      <c r="G261" s="4"/>
      <c r="H261" s="914"/>
      <c r="K261" s="11"/>
      <c r="L261" s="11"/>
      <c r="M261" s="11"/>
      <c r="N261" s="950" t="str">
        <f>"Page "&amp;SUM(P$6:P261)&amp;" of "</f>
        <v xml:space="preserve">Page 3 of </v>
      </c>
      <c r="O261" s="951">
        <f>COUNT(P$6:P$59579)</f>
        <v>22</v>
      </c>
    </row>
    <row r="262" spans="1:16">
      <c r="B262" s="4"/>
      <c r="C262" s="4"/>
      <c r="D262" s="79"/>
      <c r="E262" s="4"/>
      <c r="F262" s="4"/>
      <c r="G262" s="4"/>
      <c r="H262" s="914"/>
      <c r="I262" s="4"/>
      <c r="J262" s="4"/>
      <c r="K262" s="4"/>
      <c r="L262" s="4"/>
      <c r="M262" s="4"/>
      <c r="N262" s="4"/>
      <c r="O262" s="4"/>
    </row>
    <row r="263" spans="1:16" ht="18">
      <c r="B263" s="413" t="s">
        <v>174</v>
      </c>
      <c r="C263" s="472" t="s">
        <v>290</v>
      </c>
      <c r="D263" s="79"/>
      <c r="E263" s="4"/>
      <c r="F263" s="4"/>
      <c r="G263" s="4"/>
      <c r="H263" s="914"/>
      <c r="I263" s="914"/>
      <c r="J263" s="915"/>
      <c r="K263" s="914"/>
      <c r="L263" s="914"/>
      <c r="M263" s="914"/>
      <c r="N263" s="914"/>
      <c r="O263" s="4"/>
    </row>
    <row r="264" spans="1:16" ht="18.75">
      <c r="B264" s="413"/>
      <c r="C264" s="13"/>
      <c r="D264" s="79"/>
      <c r="E264" s="4"/>
      <c r="F264" s="4"/>
      <c r="G264" s="4"/>
      <c r="H264" s="914"/>
      <c r="I264" s="914"/>
      <c r="J264" s="915"/>
      <c r="K264" s="914"/>
      <c r="L264" s="914"/>
      <c r="M264" s="914"/>
      <c r="N264" s="914"/>
      <c r="O264" s="4"/>
    </row>
    <row r="265" spans="1:16" ht="18.75">
      <c r="B265" s="413"/>
      <c r="C265" s="13" t="s">
        <v>291</v>
      </c>
      <c r="D265" s="79"/>
      <c r="E265" s="4"/>
      <c r="F265" s="4"/>
      <c r="G265" s="4"/>
      <c r="H265" s="914"/>
      <c r="I265" s="914"/>
      <c r="J265" s="915"/>
      <c r="K265" s="914"/>
      <c r="L265" s="914"/>
      <c r="M265" s="914"/>
      <c r="N265" s="914"/>
      <c r="O265" s="4"/>
    </row>
    <row r="266" spans="1:16" ht="15.75" thickBot="1">
      <c r="C266" s="247"/>
      <c r="D266" s="79"/>
      <c r="E266" s="4"/>
      <c r="F266" s="4"/>
      <c r="G266" s="4"/>
      <c r="H266" s="914"/>
      <c r="I266" s="914"/>
      <c r="J266" s="915"/>
      <c r="K266" s="914"/>
      <c r="L266" s="914"/>
      <c r="M266" s="914"/>
      <c r="N266" s="914"/>
      <c r="O266" s="4"/>
    </row>
    <row r="267" spans="1:16" ht="15.75">
      <c r="C267" s="414" t="s">
        <v>292</v>
      </c>
      <c r="D267" s="79"/>
      <c r="E267" s="4"/>
      <c r="F267" s="4"/>
      <c r="G267" s="916"/>
      <c r="H267" s="4" t="s">
        <v>271</v>
      </c>
      <c r="I267" s="4"/>
      <c r="J267" s="4"/>
      <c r="K267" s="473" t="s">
        <v>296</v>
      </c>
      <c r="L267" s="474"/>
      <c r="M267" s="475"/>
      <c r="N267" s="917">
        <f>VLOOKUP(I273,C280:O339,5)</f>
        <v>146220.53207606054</v>
      </c>
      <c r="O267" s="4"/>
    </row>
    <row r="268" spans="1:16" ht="15.75">
      <c r="C268" s="414"/>
      <c r="D268" s="79"/>
      <c r="E268" s="4"/>
      <c r="F268" s="4"/>
      <c r="G268" s="4"/>
      <c r="H268" s="918"/>
      <c r="I268" s="918"/>
      <c r="J268" s="919"/>
      <c r="K268" s="478" t="s">
        <v>297</v>
      </c>
      <c r="L268" s="920"/>
      <c r="M268" s="4"/>
      <c r="N268" s="921">
        <f>VLOOKUP(I273,C280:O339,6)</f>
        <v>146220.53207606054</v>
      </c>
      <c r="O268" s="4"/>
    </row>
    <row r="269" spans="1:16" ht="13.5" thickBot="1">
      <c r="C269" s="479" t="s">
        <v>293</v>
      </c>
      <c r="D269" s="1274" t="s">
        <v>926</v>
      </c>
      <c r="E269" s="1274"/>
      <c r="F269" s="1274"/>
      <c r="G269" s="1274"/>
      <c r="H269" s="914"/>
      <c r="I269" s="914"/>
      <c r="J269" s="915"/>
      <c r="K269" s="922" t="s">
        <v>450</v>
      </c>
      <c r="L269" s="923"/>
      <c r="M269" s="923"/>
      <c r="N269" s="924">
        <f>+N268-N267</f>
        <v>0</v>
      </c>
      <c r="O269" s="4"/>
    </row>
    <row r="270" spans="1:16">
      <c r="C270" s="481"/>
      <c r="D270" s="482"/>
      <c r="E270" s="469"/>
      <c r="F270" s="469"/>
      <c r="G270" s="483"/>
      <c r="H270" s="914"/>
      <c r="I270" s="914"/>
      <c r="J270" s="915"/>
      <c r="K270" s="914"/>
      <c r="L270" s="914"/>
      <c r="M270" s="914"/>
      <c r="N270" s="914"/>
      <c r="O270" s="4"/>
    </row>
    <row r="271" spans="1:16" ht="13.5" thickBot="1">
      <c r="C271" s="481"/>
      <c r="D271" s="925"/>
      <c r="E271" s="483"/>
      <c r="F271" s="483"/>
      <c r="G271" s="483"/>
      <c r="H271" s="483"/>
      <c r="I271" s="483"/>
      <c r="J271" s="483"/>
      <c r="K271" s="483"/>
      <c r="L271" s="483"/>
      <c r="M271" s="483"/>
      <c r="N271" s="483"/>
      <c r="O271" s="4"/>
    </row>
    <row r="272" spans="1:16" ht="13.5" thickBot="1">
      <c r="C272" s="484" t="s">
        <v>294</v>
      </c>
      <c r="D272" s="485"/>
      <c r="E272" s="485"/>
      <c r="F272" s="485"/>
      <c r="G272" s="485"/>
      <c r="H272" s="485"/>
      <c r="I272" s="486"/>
      <c r="K272" s="4"/>
      <c r="L272" s="4"/>
      <c r="M272" s="4"/>
      <c r="N272" s="4"/>
      <c r="O272" s="4"/>
    </row>
    <row r="273" spans="1:15" ht="15">
      <c r="C273" s="487" t="s">
        <v>272</v>
      </c>
      <c r="D273" s="926">
        <v>937776</v>
      </c>
      <c r="E273" s="4" t="s">
        <v>273</v>
      </c>
      <c r="G273" s="79"/>
      <c r="H273" s="79"/>
      <c r="I273" s="488">
        <v>2018</v>
      </c>
      <c r="J273" s="135"/>
      <c r="K273" s="1277" t="s">
        <v>459</v>
      </c>
      <c r="L273" s="1277"/>
      <c r="M273" s="1277"/>
      <c r="N273" s="1277"/>
      <c r="O273" s="1277"/>
    </row>
    <row r="274" spans="1:15">
      <c r="C274" s="487" t="s">
        <v>275</v>
      </c>
      <c r="D274" s="644">
        <v>2013</v>
      </c>
      <c r="E274" s="487" t="s">
        <v>276</v>
      </c>
      <c r="F274" s="79"/>
      <c r="H274"/>
      <c r="I274" s="927">
        <f>IF(G267="",0,$F$15)</f>
        <v>0</v>
      </c>
      <c r="J274" s="489"/>
      <c r="K274" s="915" t="s">
        <v>459</v>
      </c>
    </row>
    <row r="275" spans="1:15">
      <c r="C275" s="487" t="s">
        <v>277</v>
      </c>
      <c r="D275" s="952">
        <v>6</v>
      </c>
      <c r="E275" s="487" t="s">
        <v>278</v>
      </c>
      <c r="F275" s="79"/>
      <c r="H275"/>
      <c r="I275" s="490">
        <f>$G$70</f>
        <v>0.14996626714737105</v>
      </c>
      <c r="J275" s="81"/>
      <c r="K275" t="str">
        <f>"          INPUT PROJECTED ARR (WITH &amp; WITHOUT INCENTIVES) FROM EACH PRIOR YEAR"</f>
        <v xml:space="preserve">          INPUT PROJECTED ARR (WITH &amp; WITHOUT INCENTIVES) FROM EACH PRIOR YEAR</v>
      </c>
    </row>
    <row r="276" spans="1:15">
      <c r="C276" s="487" t="s">
        <v>279</v>
      </c>
      <c r="D276" s="491">
        <f>G$79</f>
        <v>42</v>
      </c>
      <c r="E276" s="487" t="s">
        <v>280</v>
      </c>
      <c r="F276" s="79"/>
      <c r="H276"/>
      <c r="I276" s="490">
        <f>IF(G267="",I275,$G$67)</f>
        <v>0.14996626714737105</v>
      </c>
      <c r="J276" s="81"/>
      <c r="K276" t="s">
        <v>357</v>
      </c>
    </row>
    <row r="277" spans="1:15" ht="13.5" thickBot="1">
      <c r="C277" s="487" t="s">
        <v>281</v>
      </c>
      <c r="D277" s="637" t="s">
        <v>923</v>
      </c>
      <c r="E277" s="492" t="s">
        <v>282</v>
      </c>
      <c r="F277" s="493"/>
      <c r="G277" s="494"/>
      <c r="H277" s="494"/>
      <c r="I277" s="924">
        <f>IF(D273=0,0,D273/D276)</f>
        <v>22328</v>
      </c>
      <c r="J277" s="915"/>
      <c r="K277" s="915" t="s">
        <v>363</v>
      </c>
      <c r="L277" s="915"/>
      <c r="M277" s="915"/>
      <c r="N277" s="915"/>
      <c r="O277" s="4"/>
    </row>
    <row r="278" spans="1:15" ht="51">
      <c r="A278" s="12"/>
      <c r="B278" s="12"/>
      <c r="C278" s="495" t="s">
        <v>272</v>
      </c>
      <c r="D278" s="928" t="s">
        <v>283</v>
      </c>
      <c r="E278" s="929" t="s">
        <v>284</v>
      </c>
      <c r="F278" s="928" t="s">
        <v>285</v>
      </c>
      <c r="G278" s="929" t="s">
        <v>356</v>
      </c>
      <c r="H278" s="930" t="s">
        <v>356</v>
      </c>
      <c r="I278" s="495" t="s">
        <v>295</v>
      </c>
      <c r="J278" s="499"/>
      <c r="K278" s="929" t="s">
        <v>365</v>
      </c>
      <c r="L278" s="931"/>
      <c r="M278" s="929" t="s">
        <v>365</v>
      </c>
      <c r="N278" s="931"/>
      <c r="O278" s="931"/>
    </row>
    <row r="279" spans="1:15" ht="13.5" thickBot="1">
      <c r="C279" s="500" t="s">
        <v>177</v>
      </c>
      <c r="D279" s="501" t="s">
        <v>178</v>
      </c>
      <c r="E279" s="500" t="s">
        <v>37</v>
      </c>
      <c r="F279" s="501" t="s">
        <v>178</v>
      </c>
      <c r="G279" s="932" t="s">
        <v>298</v>
      </c>
      <c r="H279" s="933" t="s">
        <v>300</v>
      </c>
      <c r="I279" s="500" t="s">
        <v>389</v>
      </c>
      <c r="J279" s="504"/>
      <c r="K279" s="932" t="s">
        <v>287</v>
      </c>
      <c r="L279" s="934"/>
      <c r="M279" s="932" t="s">
        <v>300</v>
      </c>
      <c r="N279" s="934"/>
      <c r="O279" s="934"/>
    </row>
    <row r="280" spans="1:15">
      <c r="C280" s="505">
        <f>IF(D274= "","-",D274)</f>
        <v>2013</v>
      </c>
      <c r="D280" s="469">
        <f>+D273</f>
        <v>937776</v>
      </c>
      <c r="E280" s="935">
        <f>+I277/12*(12-D275)</f>
        <v>11164</v>
      </c>
      <c r="F280" s="469">
        <f t="shared" ref="F280:F339" si="12">+D280-E280</f>
        <v>926612</v>
      </c>
      <c r="G280" s="936">
        <f>+$I$275*((D280+F280)/2)+E280</f>
        <v>150961.65443717642</v>
      </c>
      <c r="H280" s="937">
        <f>$I$276*((D280+F280)/2)+E280</f>
        <v>150961.65443717642</v>
      </c>
      <c r="I280" s="509">
        <f>+H280-G280</f>
        <v>0</v>
      </c>
      <c r="J280" s="509"/>
      <c r="K280" s="949">
        <v>219263</v>
      </c>
      <c r="L280" s="510"/>
      <c r="M280" s="949">
        <v>219263</v>
      </c>
      <c r="N280" s="510"/>
      <c r="O280" s="510"/>
    </row>
    <row r="281" spans="1:15">
      <c r="C281" s="505">
        <f>IF(D274="","-",+C280+1)</f>
        <v>2014</v>
      </c>
      <c r="D281" s="469">
        <f t="shared" ref="D281:D339" si="13">F280</f>
        <v>926612</v>
      </c>
      <c r="E281" s="511">
        <f>IF(D281&gt;$I$277,$I$277,D281)</f>
        <v>22328</v>
      </c>
      <c r="F281" s="469">
        <f t="shared" si="12"/>
        <v>904284</v>
      </c>
      <c r="G281" s="935">
        <f t="shared" ref="G281:G339" si="14">+$I$275*((D281+F281)/2)+E281</f>
        <v>159614.31932752652</v>
      </c>
      <c r="H281" s="938">
        <f t="shared" ref="H281:H339" si="15">$I$276*((D281+F281)/2)+E281</f>
        <v>159614.31932752652</v>
      </c>
      <c r="I281" s="509">
        <f t="shared" ref="I281:I339" si="16">+H281-G281</f>
        <v>0</v>
      </c>
      <c r="J281" s="509"/>
      <c r="K281" s="939">
        <v>203042</v>
      </c>
      <c r="L281" s="514"/>
      <c r="M281" s="939">
        <v>203042</v>
      </c>
      <c r="N281" s="514"/>
      <c r="O281" s="514"/>
    </row>
    <row r="282" spans="1:15">
      <c r="C282" s="505">
        <f>IF(D274="","-",+C281+1)</f>
        <v>2015</v>
      </c>
      <c r="D282" s="469">
        <f>F281</f>
        <v>904284</v>
      </c>
      <c r="E282" s="511">
        <f t="shared" ref="E282:E339" si="17">IF(D282&gt;$I$277,$I$277,D282)</f>
        <v>22328</v>
      </c>
      <c r="F282" s="469">
        <f t="shared" si="12"/>
        <v>881956</v>
      </c>
      <c r="G282" s="935">
        <f t="shared" si="14"/>
        <v>156265.87251466003</v>
      </c>
      <c r="H282" s="938">
        <f t="shared" si="15"/>
        <v>156265.87251466003</v>
      </c>
      <c r="I282" s="509">
        <f t="shared" si="16"/>
        <v>0</v>
      </c>
      <c r="J282" s="509"/>
      <c r="K282" s="939">
        <v>228159</v>
      </c>
      <c r="L282" s="514"/>
      <c r="M282" s="939">
        <v>228159</v>
      </c>
      <c r="N282" s="514"/>
      <c r="O282" s="514"/>
    </row>
    <row r="283" spans="1:15">
      <c r="C283" s="505">
        <f>IF(D274="","-",+C282+1)</f>
        <v>2016</v>
      </c>
      <c r="D283" s="469">
        <f t="shared" si="13"/>
        <v>881956</v>
      </c>
      <c r="E283" s="511">
        <f t="shared" si="17"/>
        <v>22328</v>
      </c>
      <c r="F283" s="469">
        <f t="shared" si="12"/>
        <v>859628</v>
      </c>
      <c r="G283" s="935">
        <f t="shared" si="14"/>
        <v>152917.42570179352</v>
      </c>
      <c r="H283" s="938">
        <f t="shared" si="15"/>
        <v>152917.42570179352</v>
      </c>
      <c r="I283" s="509">
        <f t="shared" si="16"/>
        <v>0</v>
      </c>
      <c r="J283" s="509"/>
      <c r="K283" s="939">
        <v>81330</v>
      </c>
      <c r="L283" s="514"/>
      <c r="M283" s="939">
        <v>81330</v>
      </c>
      <c r="N283" s="514"/>
      <c r="O283" s="514"/>
    </row>
    <row r="284" spans="1:15">
      <c r="C284" s="505">
        <f>IF(D274="","-",+C283+1)</f>
        <v>2017</v>
      </c>
      <c r="D284" s="469">
        <f t="shared" si="13"/>
        <v>859628</v>
      </c>
      <c r="E284" s="511">
        <f t="shared" si="17"/>
        <v>22328</v>
      </c>
      <c r="F284" s="469">
        <f t="shared" si="12"/>
        <v>837300</v>
      </c>
      <c r="G284" s="935">
        <f t="shared" si="14"/>
        <v>149568.97888892703</v>
      </c>
      <c r="H284" s="938">
        <f t="shared" si="15"/>
        <v>149568.97888892703</v>
      </c>
      <c r="I284" s="509">
        <f t="shared" si="16"/>
        <v>0</v>
      </c>
      <c r="J284" s="509"/>
      <c r="K284" s="939">
        <v>222274</v>
      </c>
      <c r="L284" s="514"/>
      <c r="M284" s="939">
        <v>222274</v>
      </c>
      <c r="N284" s="514"/>
      <c r="O284" s="514"/>
    </row>
    <row r="285" spans="1:15">
      <c r="C285" s="940">
        <f>IF(D274="","-",+C284+1)</f>
        <v>2018</v>
      </c>
      <c r="D285" s="941">
        <f t="shared" si="13"/>
        <v>837300</v>
      </c>
      <c r="E285" s="942">
        <f t="shared" si="17"/>
        <v>22328</v>
      </c>
      <c r="F285" s="941">
        <f t="shared" si="12"/>
        <v>814972</v>
      </c>
      <c r="G285" s="943">
        <f t="shared" si="14"/>
        <v>146220.53207606054</v>
      </c>
      <c r="H285" s="944">
        <f t="shared" si="15"/>
        <v>146220.53207606054</v>
      </c>
      <c r="I285" s="945">
        <f t="shared" si="16"/>
        <v>0</v>
      </c>
      <c r="J285" s="509"/>
      <c r="K285" s="640"/>
      <c r="L285" s="514"/>
      <c r="M285" s="640"/>
      <c r="N285" s="514"/>
      <c r="O285" s="514"/>
    </row>
    <row r="286" spans="1:15">
      <c r="C286" s="505">
        <f>IF(D274="","-",+C285+1)</f>
        <v>2019</v>
      </c>
      <c r="D286" s="469">
        <f t="shared" si="13"/>
        <v>814972</v>
      </c>
      <c r="E286" s="511">
        <f t="shared" si="17"/>
        <v>22328</v>
      </c>
      <c r="F286" s="469">
        <f t="shared" si="12"/>
        <v>792644</v>
      </c>
      <c r="G286" s="935">
        <f t="shared" si="14"/>
        <v>142872.08526319402</v>
      </c>
      <c r="H286" s="938">
        <f t="shared" si="15"/>
        <v>142872.08526319402</v>
      </c>
      <c r="I286" s="509">
        <f t="shared" si="16"/>
        <v>0</v>
      </c>
      <c r="J286" s="509"/>
      <c r="K286" s="640"/>
      <c r="L286" s="514"/>
      <c r="M286" s="640"/>
      <c r="N286" s="514"/>
      <c r="O286" s="514"/>
    </row>
    <row r="287" spans="1:15">
      <c r="C287" s="505">
        <f>IF(D274="","-",+C286+1)</f>
        <v>2020</v>
      </c>
      <c r="D287" s="469">
        <f t="shared" si="13"/>
        <v>792644</v>
      </c>
      <c r="E287" s="511">
        <f t="shared" si="17"/>
        <v>22328</v>
      </c>
      <c r="F287" s="469">
        <f t="shared" si="12"/>
        <v>770316</v>
      </c>
      <c r="G287" s="935">
        <f t="shared" si="14"/>
        <v>139523.6384503275</v>
      </c>
      <c r="H287" s="938">
        <f t="shared" si="15"/>
        <v>139523.6384503275</v>
      </c>
      <c r="I287" s="509">
        <f t="shared" si="16"/>
        <v>0</v>
      </c>
      <c r="J287" s="509"/>
      <c r="K287" s="640"/>
      <c r="L287" s="514"/>
      <c r="M287" s="640"/>
      <c r="N287" s="514"/>
      <c r="O287" s="514"/>
    </row>
    <row r="288" spans="1:15">
      <c r="C288" s="505">
        <f>IF(D274="","-",+C287+1)</f>
        <v>2021</v>
      </c>
      <c r="D288" s="469">
        <f t="shared" si="13"/>
        <v>770316</v>
      </c>
      <c r="E288" s="511">
        <f t="shared" si="17"/>
        <v>22328</v>
      </c>
      <c r="F288" s="469">
        <f t="shared" si="12"/>
        <v>747988</v>
      </c>
      <c r="G288" s="935">
        <f t="shared" si="14"/>
        <v>136175.19163746102</v>
      </c>
      <c r="H288" s="938">
        <f t="shared" si="15"/>
        <v>136175.19163746102</v>
      </c>
      <c r="I288" s="509">
        <f t="shared" si="16"/>
        <v>0</v>
      </c>
      <c r="J288" s="509"/>
      <c r="K288" s="640"/>
      <c r="L288" s="514"/>
      <c r="M288" s="640"/>
      <c r="N288" s="514"/>
      <c r="O288" s="514"/>
    </row>
    <row r="289" spans="3:15">
      <c r="C289" s="505">
        <f>IF(D274="","-",+C288+1)</f>
        <v>2022</v>
      </c>
      <c r="D289" s="469">
        <f t="shared" si="13"/>
        <v>747988</v>
      </c>
      <c r="E289" s="511">
        <f t="shared" si="17"/>
        <v>22328</v>
      </c>
      <c r="F289" s="469">
        <f t="shared" si="12"/>
        <v>725660</v>
      </c>
      <c r="G289" s="935">
        <f t="shared" si="14"/>
        <v>132826.74482459453</v>
      </c>
      <c r="H289" s="938">
        <f t="shared" si="15"/>
        <v>132826.74482459453</v>
      </c>
      <c r="I289" s="509">
        <f t="shared" si="16"/>
        <v>0</v>
      </c>
      <c r="J289" s="509"/>
      <c r="K289" s="640"/>
      <c r="L289" s="514"/>
      <c r="M289" s="640"/>
      <c r="N289" s="514"/>
      <c r="O289" s="514"/>
    </row>
    <row r="290" spans="3:15">
      <c r="C290" s="505">
        <f>IF(D274="","-",+C289+1)</f>
        <v>2023</v>
      </c>
      <c r="D290" s="469">
        <f t="shared" si="13"/>
        <v>725660</v>
      </c>
      <c r="E290" s="511">
        <f t="shared" si="17"/>
        <v>22328</v>
      </c>
      <c r="F290" s="469">
        <f t="shared" si="12"/>
        <v>703332</v>
      </c>
      <c r="G290" s="935">
        <f t="shared" si="14"/>
        <v>129478.29801172802</v>
      </c>
      <c r="H290" s="938">
        <f t="shared" si="15"/>
        <v>129478.29801172802</v>
      </c>
      <c r="I290" s="509">
        <f t="shared" si="16"/>
        <v>0</v>
      </c>
      <c r="J290" s="509"/>
      <c r="K290" s="640"/>
      <c r="L290" s="514"/>
      <c r="M290" s="640"/>
      <c r="N290" s="514"/>
      <c r="O290" s="514"/>
    </row>
    <row r="291" spans="3:15">
      <c r="C291" s="505">
        <f>IF(D274="","-",+C290+1)</f>
        <v>2024</v>
      </c>
      <c r="D291" s="469">
        <f t="shared" si="13"/>
        <v>703332</v>
      </c>
      <c r="E291" s="511">
        <f t="shared" si="17"/>
        <v>22328</v>
      </c>
      <c r="F291" s="469">
        <f t="shared" si="12"/>
        <v>681004</v>
      </c>
      <c r="G291" s="935">
        <f t="shared" si="14"/>
        <v>126129.85119886152</v>
      </c>
      <c r="H291" s="938">
        <f t="shared" si="15"/>
        <v>126129.85119886152</v>
      </c>
      <c r="I291" s="509">
        <f t="shared" si="16"/>
        <v>0</v>
      </c>
      <c r="J291" s="509"/>
      <c r="K291" s="640"/>
      <c r="L291" s="514"/>
      <c r="M291" s="640"/>
      <c r="N291" s="514"/>
      <c r="O291" s="514"/>
    </row>
    <row r="292" spans="3:15">
      <c r="C292" s="505">
        <f>IF(D274="","-",+C291+1)</f>
        <v>2025</v>
      </c>
      <c r="D292" s="469">
        <f t="shared" si="13"/>
        <v>681004</v>
      </c>
      <c r="E292" s="511">
        <f t="shared" si="17"/>
        <v>22328</v>
      </c>
      <c r="F292" s="469">
        <f t="shared" si="12"/>
        <v>658676</v>
      </c>
      <c r="G292" s="935">
        <f t="shared" si="14"/>
        <v>122781.40438599502</v>
      </c>
      <c r="H292" s="938">
        <f t="shared" si="15"/>
        <v>122781.40438599502</v>
      </c>
      <c r="I292" s="509">
        <f t="shared" si="16"/>
        <v>0</v>
      </c>
      <c r="J292" s="509"/>
      <c r="K292" s="640"/>
      <c r="L292" s="514"/>
      <c r="M292" s="640"/>
      <c r="N292" s="514"/>
      <c r="O292" s="514"/>
    </row>
    <row r="293" spans="3:15">
      <c r="C293" s="505">
        <f>IF(D274="","-",+C292+1)</f>
        <v>2026</v>
      </c>
      <c r="D293" s="469">
        <f t="shared" si="13"/>
        <v>658676</v>
      </c>
      <c r="E293" s="511">
        <f t="shared" si="17"/>
        <v>22328</v>
      </c>
      <c r="F293" s="469">
        <f t="shared" si="12"/>
        <v>636348</v>
      </c>
      <c r="G293" s="935">
        <f t="shared" si="14"/>
        <v>119432.95757312851</v>
      </c>
      <c r="H293" s="938">
        <f t="shared" si="15"/>
        <v>119432.95757312851</v>
      </c>
      <c r="I293" s="509">
        <f t="shared" si="16"/>
        <v>0</v>
      </c>
      <c r="J293" s="509"/>
      <c r="K293" s="640"/>
      <c r="L293" s="514"/>
      <c r="M293" s="640"/>
      <c r="N293" s="514"/>
      <c r="O293" s="514"/>
    </row>
    <row r="294" spans="3:15">
      <c r="C294" s="505">
        <f>IF(D274="","-",+C293+1)</f>
        <v>2027</v>
      </c>
      <c r="D294" s="469">
        <f t="shared" si="13"/>
        <v>636348</v>
      </c>
      <c r="E294" s="511">
        <f t="shared" si="17"/>
        <v>22328</v>
      </c>
      <c r="F294" s="469">
        <f t="shared" si="12"/>
        <v>614020</v>
      </c>
      <c r="G294" s="935">
        <f t="shared" si="14"/>
        <v>116084.51076026203</v>
      </c>
      <c r="H294" s="938">
        <f t="shared" si="15"/>
        <v>116084.51076026203</v>
      </c>
      <c r="I294" s="509">
        <f t="shared" si="16"/>
        <v>0</v>
      </c>
      <c r="J294" s="509"/>
      <c r="K294" s="640"/>
      <c r="L294" s="514"/>
      <c r="M294" s="640"/>
      <c r="N294" s="514"/>
      <c r="O294" s="514"/>
    </row>
    <row r="295" spans="3:15">
      <c r="C295" s="505">
        <f>IF(D274="","-",+C294+1)</f>
        <v>2028</v>
      </c>
      <c r="D295" s="469">
        <f t="shared" si="13"/>
        <v>614020</v>
      </c>
      <c r="E295" s="511">
        <f t="shared" si="17"/>
        <v>22328</v>
      </c>
      <c r="F295" s="469">
        <f t="shared" si="12"/>
        <v>591692</v>
      </c>
      <c r="G295" s="935">
        <f t="shared" si="14"/>
        <v>112736.06394739552</v>
      </c>
      <c r="H295" s="938">
        <f t="shared" si="15"/>
        <v>112736.06394739552</v>
      </c>
      <c r="I295" s="509">
        <f t="shared" si="16"/>
        <v>0</v>
      </c>
      <c r="J295" s="509"/>
      <c r="K295" s="640"/>
      <c r="L295" s="514"/>
      <c r="M295" s="640"/>
      <c r="N295" s="514"/>
      <c r="O295" s="514"/>
    </row>
    <row r="296" spans="3:15">
      <c r="C296" s="505">
        <f>IF(D274="","-",+C295+1)</f>
        <v>2029</v>
      </c>
      <c r="D296" s="469">
        <f t="shared" si="13"/>
        <v>591692</v>
      </c>
      <c r="E296" s="511">
        <f t="shared" si="17"/>
        <v>22328</v>
      </c>
      <c r="F296" s="469">
        <f t="shared" si="12"/>
        <v>569364</v>
      </c>
      <c r="G296" s="935">
        <f t="shared" si="14"/>
        <v>109387.61713452902</v>
      </c>
      <c r="H296" s="938">
        <f t="shared" si="15"/>
        <v>109387.61713452902</v>
      </c>
      <c r="I296" s="509">
        <f t="shared" si="16"/>
        <v>0</v>
      </c>
      <c r="J296" s="509"/>
      <c r="K296" s="640"/>
      <c r="L296" s="514"/>
      <c r="M296" s="640"/>
      <c r="N296" s="514"/>
      <c r="O296" s="514"/>
    </row>
    <row r="297" spans="3:15">
      <c r="C297" s="505">
        <f>IF(D274="","-",+C296+1)</f>
        <v>2030</v>
      </c>
      <c r="D297" s="469">
        <f t="shared" si="13"/>
        <v>569364</v>
      </c>
      <c r="E297" s="511">
        <f t="shared" si="17"/>
        <v>22328</v>
      </c>
      <c r="F297" s="469">
        <f t="shared" si="12"/>
        <v>547036</v>
      </c>
      <c r="G297" s="935">
        <f t="shared" si="14"/>
        <v>106039.17032166252</v>
      </c>
      <c r="H297" s="938">
        <f t="shared" si="15"/>
        <v>106039.17032166252</v>
      </c>
      <c r="I297" s="509">
        <f t="shared" si="16"/>
        <v>0</v>
      </c>
      <c r="J297" s="509"/>
      <c r="K297" s="640"/>
      <c r="L297" s="514"/>
      <c r="M297" s="640"/>
      <c r="N297" s="514"/>
      <c r="O297" s="514"/>
    </row>
    <row r="298" spans="3:15">
      <c r="C298" s="505">
        <f>IF(D274="","-",+C297+1)</f>
        <v>2031</v>
      </c>
      <c r="D298" s="469">
        <f t="shared" si="13"/>
        <v>547036</v>
      </c>
      <c r="E298" s="511">
        <f t="shared" si="17"/>
        <v>22328</v>
      </c>
      <c r="F298" s="469">
        <f t="shared" si="12"/>
        <v>524708</v>
      </c>
      <c r="G298" s="935">
        <f t="shared" si="14"/>
        <v>102690.72350879601</v>
      </c>
      <c r="H298" s="938">
        <f t="shared" si="15"/>
        <v>102690.72350879601</v>
      </c>
      <c r="I298" s="509">
        <f t="shared" si="16"/>
        <v>0</v>
      </c>
      <c r="J298" s="509"/>
      <c r="K298" s="640"/>
      <c r="L298" s="514"/>
      <c r="M298" s="640"/>
      <c r="N298" s="514"/>
      <c r="O298" s="514"/>
    </row>
    <row r="299" spans="3:15">
      <c r="C299" s="505">
        <f>IF(D274="","-",+C298+1)</f>
        <v>2032</v>
      </c>
      <c r="D299" s="469">
        <f t="shared" si="13"/>
        <v>524708</v>
      </c>
      <c r="E299" s="511">
        <f t="shared" si="17"/>
        <v>22328</v>
      </c>
      <c r="F299" s="469">
        <f t="shared" si="12"/>
        <v>502380</v>
      </c>
      <c r="G299" s="935">
        <f t="shared" si="14"/>
        <v>99342.276695929511</v>
      </c>
      <c r="H299" s="938">
        <f t="shared" si="15"/>
        <v>99342.276695929511</v>
      </c>
      <c r="I299" s="509">
        <f t="shared" si="16"/>
        <v>0</v>
      </c>
      <c r="J299" s="509"/>
      <c r="K299" s="640"/>
      <c r="L299" s="514"/>
      <c r="M299" s="640"/>
      <c r="N299" s="514"/>
      <c r="O299" s="514"/>
    </row>
    <row r="300" spans="3:15">
      <c r="C300" s="505">
        <f>IF(D274="","-",+C299+1)</f>
        <v>2033</v>
      </c>
      <c r="D300" s="469">
        <f t="shared" si="13"/>
        <v>502380</v>
      </c>
      <c r="E300" s="511">
        <f t="shared" si="17"/>
        <v>22328</v>
      </c>
      <c r="F300" s="469">
        <f t="shared" si="12"/>
        <v>480052</v>
      </c>
      <c r="G300" s="935">
        <f t="shared" si="14"/>
        <v>95993.829883063023</v>
      </c>
      <c r="H300" s="938">
        <f t="shared" si="15"/>
        <v>95993.829883063023</v>
      </c>
      <c r="I300" s="509">
        <f t="shared" si="16"/>
        <v>0</v>
      </c>
      <c r="J300" s="509"/>
      <c r="K300" s="640"/>
      <c r="L300" s="514"/>
      <c r="M300" s="640"/>
      <c r="N300" s="514"/>
      <c r="O300" s="514"/>
    </row>
    <row r="301" spans="3:15">
      <c r="C301" s="505">
        <f>IF(D274="","-",+C300+1)</f>
        <v>2034</v>
      </c>
      <c r="D301" s="469">
        <f t="shared" si="13"/>
        <v>480052</v>
      </c>
      <c r="E301" s="511">
        <f t="shared" si="17"/>
        <v>22328</v>
      </c>
      <c r="F301" s="469">
        <f t="shared" si="12"/>
        <v>457724</v>
      </c>
      <c r="G301" s="935">
        <f t="shared" si="14"/>
        <v>92645.38307019652</v>
      </c>
      <c r="H301" s="938">
        <f t="shared" si="15"/>
        <v>92645.38307019652</v>
      </c>
      <c r="I301" s="509">
        <f t="shared" si="16"/>
        <v>0</v>
      </c>
      <c r="J301" s="509"/>
      <c r="K301" s="640"/>
      <c r="L301" s="514"/>
      <c r="M301" s="640"/>
      <c r="N301" s="514"/>
      <c r="O301" s="514"/>
    </row>
    <row r="302" spans="3:15">
      <c r="C302" s="505">
        <f>IF(D274="","-",+C301+1)</f>
        <v>2035</v>
      </c>
      <c r="D302" s="469">
        <f t="shared" si="13"/>
        <v>457724</v>
      </c>
      <c r="E302" s="511">
        <f t="shared" si="17"/>
        <v>22328</v>
      </c>
      <c r="F302" s="469">
        <f t="shared" si="12"/>
        <v>435396</v>
      </c>
      <c r="G302" s="935">
        <f t="shared" si="14"/>
        <v>89296.936257330017</v>
      </c>
      <c r="H302" s="938">
        <f t="shared" si="15"/>
        <v>89296.936257330017</v>
      </c>
      <c r="I302" s="509">
        <f t="shared" si="16"/>
        <v>0</v>
      </c>
      <c r="J302" s="509"/>
      <c r="K302" s="640"/>
      <c r="L302" s="514"/>
      <c r="M302" s="640"/>
      <c r="N302" s="514"/>
      <c r="O302" s="514"/>
    </row>
    <row r="303" spans="3:15">
      <c r="C303" s="505">
        <f>IF(D274="","-",+C302+1)</f>
        <v>2036</v>
      </c>
      <c r="D303" s="469">
        <f t="shared" si="13"/>
        <v>435396</v>
      </c>
      <c r="E303" s="511">
        <f t="shared" si="17"/>
        <v>22328</v>
      </c>
      <c r="F303" s="469">
        <f t="shared" si="12"/>
        <v>413068</v>
      </c>
      <c r="G303" s="935">
        <f t="shared" si="14"/>
        <v>85948.489444463514</v>
      </c>
      <c r="H303" s="938">
        <f t="shared" si="15"/>
        <v>85948.489444463514</v>
      </c>
      <c r="I303" s="509">
        <f t="shared" si="16"/>
        <v>0</v>
      </c>
      <c r="J303" s="509"/>
      <c r="K303" s="640"/>
      <c r="L303" s="514"/>
      <c r="M303" s="640"/>
      <c r="N303" s="514"/>
      <c r="O303" s="514"/>
    </row>
    <row r="304" spans="3:15">
      <c r="C304" s="505">
        <f>IF(D274="","-",+C303+1)</f>
        <v>2037</v>
      </c>
      <c r="D304" s="469">
        <f t="shared" si="13"/>
        <v>413068</v>
      </c>
      <c r="E304" s="511">
        <f t="shared" si="17"/>
        <v>22328</v>
      </c>
      <c r="F304" s="469">
        <f t="shared" si="12"/>
        <v>390740</v>
      </c>
      <c r="G304" s="935">
        <f t="shared" si="14"/>
        <v>82600.042631597011</v>
      </c>
      <c r="H304" s="938">
        <f t="shared" si="15"/>
        <v>82600.042631597011</v>
      </c>
      <c r="I304" s="509">
        <f t="shared" si="16"/>
        <v>0</v>
      </c>
      <c r="J304" s="509"/>
      <c r="K304" s="640"/>
      <c r="L304" s="514"/>
      <c r="M304" s="640"/>
      <c r="N304" s="514"/>
      <c r="O304" s="514"/>
    </row>
    <row r="305" spans="3:15">
      <c r="C305" s="505">
        <f>IF(D274="","-",+C304+1)</f>
        <v>2038</v>
      </c>
      <c r="D305" s="469">
        <f t="shared" si="13"/>
        <v>390740</v>
      </c>
      <c r="E305" s="511">
        <f t="shared" si="17"/>
        <v>22328</v>
      </c>
      <c r="F305" s="469">
        <f t="shared" si="12"/>
        <v>368412</v>
      </c>
      <c r="G305" s="935">
        <f t="shared" si="14"/>
        <v>79251.595818730508</v>
      </c>
      <c r="H305" s="938">
        <f t="shared" si="15"/>
        <v>79251.595818730508</v>
      </c>
      <c r="I305" s="509">
        <f t="shared" si="16"/>
        <v>0</v>
      </c>
      <c r="J305" s="509"/>
      <c r="K305" s="640"/>
      <c r="L305" s="514"/>
      <c r="M305" s="640"/>
      <c r="N305" s="514"/>
      <c r="O305" s="514"/>
    </row>
    <row r="306" spans="3:15">
      <c r="C306" s="505">
        <f>IF(D274="","-",+C305+1)</f>
        <v>2039</v>
      </c>
      <c r="D306" s="469">
        <f t="shared" si="13"/>
        <v>368412</v>
      </c>
      <c r="E306" s="511">
        <f t="shared" si="17"/>
        <v>22328</v>
      </c>
      <c r="F306" s="469">
        <f t="shared" si="12"/>
        <v>346084</v>
      </c>
      <c r="G306" s="935">
        <f t="shared" si="14"/>
        <v>75903.149005864019</v>
      </c>
      <c r="H306" s="938">
        <f t="shared" si="15"/>
        <v>75903.149005864019</v>
      </c>
      <c r="I306" s="509">
        <f t="shared" si="16"/>
        <v>0</v>
      </c>
      <c r="J306" s="509"/>
      <c r="K306" s="640"/>
      <c r="L306" s="514"/>
      <c r="M306" s="640"/>
      <c r="N306" s="514"/>
      <c r="O306" s="514"/>
    </row>
    <row r="307" spans="3:15">
      <c r="C307" s="505">
        <f>IF(D274="","-",+C306+1)</f>
        <v>2040</v>
      </c>
      <c r="D307" s="469">
        <f t="shared" si="13"/>
        <v>346084</v>
      </c>
      <c r="E307" s="511">
        <f t="shared" si="17"/>
        <v>22328</v>
      </c>
      <c r="F307" s="469">
        <f t="shared" si="12"/>
        <v>323756</v>
      </c>
      <c r="G307" s="935">
        <f t="shared" si="14"/>
        <v>72554.702192997502</v>
      </c>
      <c r="H307" s="938">
        <f t="shared" si="15"/>
        <v>72554.702192997502</v>
      </c>
      <c r="I307" s="509">
        <f t="shared" si="16"/>
        <v>0</v>
      </c>
      <c r="J307" s="509"/>
      <c r="K307" s="640"/>
      <c r="L307" s="514"/>
      <c r="M307" s="640"/>
      <c r="N307" s="514"/>
      <c r="O307" s="514"/>
    </row>
    <row r="308" spans="3:15">
      <c r="C308" s="505">
        <f>IF(D274="","-",+C307+1)</f>
        <v>2041</v>
      </c>
      <c r="D308" s="469">
        <f t="shared" si="13"/>
        <v>323756</v>
      </c>
      <c r="E308" s="511">
        <f t="shared" si="17"/>
        <v>22328</v>
      </c>
      <c r="F308" s="469">
        <f t="shared" si="12"/>
        <v>301428</v>
      </c>
      <c r="G308" s="936">
        <f t="shared" si="14"/>
        <v>69206.255380131013</v>
      </c>
      <c r="H308" s="938">
        <f t="shared" si="15"/>
        <v>69206.255380131013</v>
      </c>
      <c r="I308" s="509">
        <f t="shared" si="16"/>
        <v>0</v>
      </c>
      <c r="J308" s="509"/>
      <c r="K308" s="640"/>
      <c r="L308" s="514"/>
      <c r="M308" s="640"/>
      <c r="N308" s="514"/>
      <c r="O308" s="514"/>
    </row>
    <row r="309" spans="3:15">
      <c r="C309" s="505">
        <f>IF(D274="","-",+C308+1)</f>
        <v>2042</v>
      </c>
      <c r="D309" s="469">
        <f t="shared" si="13"/>
        <v>301428</v>
      </c>
      <c r="E309" s="511">
        <f t="shared" si="17"/>
        <v>22328</v>
      </c>
      <c r="F309" s="469">
        <f t="shared" si="12"/>
        <v>279100</v>
      </c>
      <c r="G309" s="935">
        <f t="shared" si="14"/>
        <v>65857.80856726451</v>
      </c>
      <c r="H309" s="938">
        <f t="shared" si="15"/>
        <v>65857.80856726451</v>
      </c>
      <c r="I309" s="509">
        <f t="shared" si="16"/>
        <v>0</v>
      </c>
      <c r="J309" s="509"/>
      <c r="K309" s="640"/>
      <c r="L309" s="514"/>
      <c r="M309" s="640"/>
      <c r="N309" s="514"/>
      <c r="O309" s="514"/>
    </row>
    <row r="310" spans="3:15">
      <c r="C310" s="505">
        <f>IF(D274="","-",+C309+1)</f>
        <v>2043</v>
      </c>
      <c r="D310" s="469">
        <f t="shared" si="13"/>
        <v>279100</v>
      </c>
      <c r="E310" s="511">
        <f t="shared" si="17"/>
        <v>22328</v>
      </c>
      <c r="F310" s="469">
        <f t="shared" si="12"/>
        <v>256772</v>
      </c>
      <c r="G310" s="935">
        <f t="shared" si="14"/>
        <v>62509.361754398007</v>
      </c>
      <c r="H310" s="938">
        <f t="shared" si="15"/>
        <v>62509.361754398007</v>
      </c>
      <c r="I310" s="509">
        <f t="shared" si="16"/>
        <v>0</v>
      </c>
      <c r="J310" s="509"/>
      <c r="K310" s="640"/>
      <c r="L310" s="514"/>
      <c r="M310" s="640"/>
      <c r="N310" s="514"/>
      <c r="O310" s="514"/>
    </row>
    <row r="311" spans="3:15">
      <c r="C311" s="505">
        <f>IF(D274="","-",+C310+1)</f>
        <v>2044</v>
      </c>
      <c r="D311" s="469">
        <f t="shared" si="13"/>
        <v>256772</v>
      </c>
      <c r="E311" s="511">
        <f t="shared" si="17"/>
        <v>22328</v>
      </c>
      <c r="F311" s="469">
        <f t="shared" si="12"/>
        <v>234444</v>
      </c>
      <c r="G311" s="935">
        <f t="shared" si="14"/>
        <v>59160.914941531511</v>
      </c>
      <c r="H311" s="938">
        <f t="shared" si="15"/>
        <v>59160.914941531511</v>
      </c>
      <c r="I311" s="509">
        <f t="shared" si="16"/>
        <v>0</v>
      </c>
      <c r="J311" s="509"/>
      <c r="K311" s="640"/>
      <c r="L311" s="514"/>
      <c r="M311" s="640"/>
      <c r="N311" s="514"/>
      <c r="O311" s="514"/>
    </row>
    <row r="312" spans="3:15">
      <c r="C312" s="505">
        <f>IF(D274="","-",+C311+1)</f>
        <v>2045</v>
      </c>
      <c r="D312" s="469">
        <f t="shared" si="13"/>
        <v>234444</v>
      </c>
      <c r="E312" s="511">
        <f t="shared" si="17"/>
        <v>22328</v>
      </c>
      <c r="F312" s="469">
        <f t="shared" si="12"/>
        <v>212116</v>
      </c>
      <c r="G312" s="935">
        <f t="shared" si="14"/>
        <v>55812.468128665008</v>
      </c>
      <c r="H312" s="938">
        <f t="shared" si="15"/>
        <v>55812.468128665008</v>
      </c>
      <c r="I312" s="509">
        <f t="shared" si="16"/>
        <v>0</v>
      </c>
      <c r="J312" s="509"/>
      <c r="K312" s="640"/>
      <c r="L312" s="514"/>
      <c r="M312" s="640"/>
      <c r="N312" s="514"/>
      <c r="O312" s="514"/>
    </row>
    <row r="313" spans="3:15">
      <c r="C313" s="505">
        <f>IF(D274="","-",+C312+1)</f>
        <v>2046</v>
      </c>
      <c r="D313" s="469">
        <f t="shared" si="13"/>
        <v>212116</v>
      </c>
      <c r="E313" s="511">
        <f t="shared" si="17"/>
        <v>22328</v>
      </c>
      <c r="F313" s="469">
        <f t="shared" si="12"/>
        <v>189788</v>
      </c>
      <c r="G313" s="935">
        <f t="shared" si="14"/>
        <v>52464.021315798505</v>
      </c>
      <c r="H313" s="938">
        <f t="shared" si="15"/>
        <v>52464.021315798505</v>
      </c>
      <c r="I313" s="509">
        <f t="shared" si="16"/>
        <v>0</v>
      </c>
      <c r="J313" s="509"/>
      <c r="K313" s="640"/>
      <c r="L313" s="514"/>
      <c r="M313" s="640"/>
      <c r="N313" s="514"/>
      <c r="O313" s="514"/>
    </row>
    <row r="314" spans="3:15">
      <c r="C314" s="505">
        <f>IF(D274="","-",+C313+1)</f>
        <v>2047</v>
      </c>
      <c r="D314" s="469">
        <f t="shared" si="13"/>
        <v>189788</v>
      </c>
      <c r="E314" s="511">
        <f t="shared" si="17"/>
        <v>22328</v>
      </c>
      <c r="F314" s="469">
        <f t="shared" si="12"/>
        <v>167460</v>
      </c>
      <c r="G314" s="935">
        <f t="shared" si="14"/>
        <v>49115.57450293201</v>
      </c>
      <c r="H314" s="938">
        <f t="shared" si="15"/>
        <v>49115.57450293201</v>
      </c>
      <c r="I314" s="509">
        <f t="shared" si="16"/>
        <v>0</v>
      </c>
      <c r="J314" s="509"/>
      <c r="K314" s="640"/>
      <c r="L314" s="514"/>
      <c r="M314" s="640"/>
      <c r="N314" s="514"/>
      <c r="O314" s="514"/>
    </row>
    <row r="315" spans="3:15">
      <c r="C315" s="505">
        <f>IF(D274="","-",+C314+1)</f>
        <v>2048</v>
      </c>
      <c r="D315" s="469">
        <f t="shared" si="13"/>
        <v>167460</v>
      </c>
      <c r="E315" s="511">
        <f t="shared" si="17"/>
        <v>22328</v>
      </c>
      <c r="F315" s="469">
        <f t="shared" si="12"/>
        <v>145132</v>
      </c>
      <c r="G315" s="935">
        <f t="shared" si="14"/>
        <v>45767.127690065507</v>
      </c>
      <c r="H315" s="938">
        <f t="shared" si="15"/>
        <v>45767.127690065507</v>
      </c>
      <c r="I315" s="509">
        <f t="shared" si="16"/>
        <v>0</v>
      </c>
      <c r="J315" s="509"/>
      <c r="K315" s="640"/>
      <c r="L315" s="514"/>
      <c r="M315" s="640"/>
      <c r="N315" s="514"/>
      <c r="O315" s="514"/>
    </row>
    <row r="316" spans="3:15">
      <c r="C316" s="505">
        <f>IF(D274="","-",+C315+1)</f>
        <v>2049</v>
      </c>
      <c r="D316" s="469">
        <f t="shared" si="13"/>
        <v>145132</v>
      </c>
      <c r="E316" s="511">
        <f t="shared" si="17"/>
        <v>22328</v>
      </c>
      <c r="F316" s="469">
        <f t="shared" si="12"/>
        <v>122804</v>
      </c>
      <c r="G316" s="935">
        <f t="shared" si="14"/>
        <v>42418.680877199004</v>
      </c>
      <c r="H316" s="938">
        <f t="shared" si="15"/>
        <v>42418.680877199004</v>
      </c>
      <c r="I316" s="509">
        <f t="shared" si="16"/>
        <v>0</v>
      </c>
      <c r="J316" s="509"/>
      <c r="K316" s="640"/>
      <c r="L316" s="514"/>
      <c r="M316" s="640"/>
      <c r="N316" s="514"/>
      <c r="O316" s="514"/>
    </row>
    <row r="317" spans="3:15">
      <c r="C317" s="505">
        <f>IF(D274="","-",+C316+1)</f>
        <v>2050</v>
      </c>
      <c r="D317" s="469">
        <f t="shared" si="13"/>
        <v>122804</v>
      </c>
      <c r="E317" s="511">
        <f t="shared" si="17"/>
        <v>22328</v>
      </c>
      <c r="F317" s="469">
        <f t="shared" si="12"/>
        <v>100476</v>
      </c>
      <c r="G317" s="935">
        <f t="shared" si="14"/>
        <v>39070.234064332501</v>
      </c>
      <c r="H317" s="938">
        <f t="shared" si="15"/>
        <v>39070.234064332501</v>
      </c>
      <c r="I317" s="509">
        <f t="shared" si="16"/>
        <v>0</v>
      </c>
      <c r="J317" s="509"/>
      <c r="K317" s="640"/>
      <c r="L317" s="514"/>
      <c r="M317" s="640"/>
      <c r="N317" s="514"/>
      <c r="O317" s="514"/>
    </row>
    <row r="318" spans="3:15">
      <c r="C318" s="505">
        <f>IF(D274="","-",+C317+1)</f>
        <v>2051</v>
      </c>
      <c r="D318" s="469">
        <f t="shared" si="13"/>
        <v>100476</v>
      </c>
      <c r="E318" s="511">
        <f t="shared" si="17"/>
        <v>22328</v>
      </c>
      <c r="F318" s="469">
        <f t="shared" si="12"/>
        <v>78148</v>
      </c>
      <c r="G318" s="935">
        <f t="shared" si="14"/>
        <v>35721.787251466005</v>
      </c>
      <c r="H318" s="938">
        <f t="shared" si="15"/>
        <v>35721.787251466005</v>
      </c>
      <c r="I318" s="509">
        <f t="shared" si="16"/>
        <v>0</v>
      </c>
      <c r="J318" s="509"/>
      <c r="K318" s="640"/>
      <c r="L318" s="514"/>
      <c r="M318" s="640"/>
      <c r="N318" s="514"/>
      <c r="O318" s="514"/>
    </row>
    <row r="319" spans="3:15">
      <c r="C319" s="505">
        <f>IF(D274="","-",+C318+1)</f>
        <v>2052</v>
      </c>
      <c r="D319" s="469">
        <f t="shared" si="13"/>
        <v>78148</v>
      </c>
      <c r="E319" s="511">
        <f t="shared" si="17"/>
        <v>22328</v>
      </c>
      <c r="F319" s="469">
        <f t="shared" si="12"/>
        <v>55820</v>
      </c>
      <c r="G319" s="935">
        <f t="shared" si="14"/>
        <v>32373.340438599502</v>
      </c>
      <c r="H319" s="938">
        <f t="shared" si="15"/>
        <v>32373.340438599502</v>
      </c>
      <c r="I319" s="509">
        <f t="shared" si="16"/>
        <v>0</v>
      </c>
      <c r="J319" s="509"/>
      <c r="K319" s="640"/>
      <c r="L319" s="514"/>
      <c r="M319" s="640"/>
      <c r="N319" s="514"/>
      <c r="O319" s="514"/>
    </row>
    <row r="320" spans="3:15">
      <c r="C320" s="505">
        <f>IF(D274="","-",+C319+1)</f>
        <v>2053</v>
      </c>
      <c r="D320" s="469">
        <f t="shared" si="13"/>
        <v>55820</v>
      </c>
      <c r="E320" s="511">
        <f t="shared" si="17"/>
        <v>22328</v>
      </c>
      <c r="F320" s="469">
        <f t="shared" si="12"/>
        <v>33492</v>
      </c>
      <c r="G320" s="935">
        <f t="shared" si="14"/>
        <v>29024.893625733002</v>
      </c>
      <c r="H320" s="938">
        <f t="shared" si="15"/>
        <v>29024.893625733002</v>
      </c>
      <c r="I320" s="509">
        <f t="shared" si="16"/>
        <v>0</v>
      </c>
      <c r="J320" s="509"/>
      <c r="K320" s="640"/>
      <c r="L320" s="514"/>
      <c r="M320" s="640"/>
      <c r="N320" s="514"/>
      <c r="O320" s="514"/>
    </row>
    <row r="321" spans="3:15">
      <c r="C321" s="505">
        <f>IF(D274="","-",+C320+1)</f>
        <v>2054</v>
      </c>
      <c r="D321" s="469">
        <f t="shared" si="13"/>
        <v>33492</v>
      </c>
      <c r="E321" s="511">
        <f t="shared" si="17"/>
        <v>22328</v>
      </c>
      <c r="F321" s="469">
        <f t="shared" si="12"/>
        <v>11164</v>
      </c>
      <c r="G321" s="935">
        <f t="shared" si="14"/>
        <v>25676.446812866499</v>
      </c>
      <c r="H321" s="938">
        <f t="shared" si="15"/>
        <v>25676.446812866499</v>
      </c>
      <c r="I321" s="509">
        <f t="shared" si="16"/>
        <v>0</v>
      </c>
      <c r="J321" s="509"/>
      <c r="K321" s="640"/>
      <c r="L321" s="514"/>
      <c r="M321" s="640"/>
      <c r="N321" s="514"/>
      <c r="O321" s="514"/>
    </row>
    <row r="322" spans="3:15">
      <c r="C322" s="505">
        <f>IF(D274="","-",+C321+1)</f>
        <v>2055</v>
      </c>
      <c r="D322" s="469">
        <f t="shared" si="13"/>
        <v>11164</v>
      </c>
      <c r="E322" s="511">
        <f t="shared" si="17"/>
        <v>11164</v>
      </c>
      <c r="F322" s="469">
        <f t="shared" si="12"/>
        <v>0</v>
      </c>
      <c r="G322" s="935">
        <f t="shared" si="14"/>
        <v>12001.111703216626</v>
      </c>
      <c r="H322" s="938">
        <f t="shared" si="15"/>
        <v>12001.111703216626</v>
      </c>
      <c r="I322" s="509">
        <f t="shared" si="16"/>
        <v>0</v>
      </c>
      <c r="J322" s="509"/>
      <c r="K322" s="640"/>
      <c r="L322" s="514"/>
      <c r="M322" s="640"/>
      <c r="N322" s="514"/>
      <c r="O322" s="514"/>
    </row>
    <row r="323" spans="3:15">
      <c r="C323" s="505">
        <f>IF(D274="","-",+C322+1)</f>
        <v>2056</v>
      </c>
      <c r="D323" s="469">
        <f t="shared" si="13"/>
        <v>0</v>
      </c>
      <c r="E323" s="511">
        <f t="shared" si="17"/>
        <v>0</v>
      </c>
      <c r="F323" s="469">
        <f t="shared" si="12"/>
        <v>0</v>
      </c>
      <c r="G323" s="935">
        <f t="shared" si="14"/>
        <v>0</v>
      </c>
      <c r="H323" s="938">
        <f t="shared" si="15"/>
        <v>0</v>
      </c>
      <c r="I323" s="509">
        <f t="shared" si="16"/>
        <v>0</v>
      </c>
      <c r="J323" s="509"/>
      <c r="K323" s="640"/>
      <c r="L323" s="514"/>
      <c r="M323" s="640"/>
      <c r="N323" s="514"/>
      <c r="O323" s="514"/>
    </row>
    <row r="324" spans="3:15">
      <c r="C324" s="505">
        <f>IF(D274="","-",+C323+1)</f>
        <v>2057</v>
      </c>
      <c r="D324" s="469">
        <f t="shared" si="13"/>
        <v>0</v>
      </c>
      <c r="E324" s="511">
        <f t="shared" si="17"/>
        <v>0</v>
      </c>
      <c r="F324" s="469">
        <f t="shared" si="12"/>
        <v>0</v>
      </c>
      <c r="G324" s="935">
        <f t="shared" si="14"/>
        <v>0</v>
      </c>
      <c r="H324" s="938">
        <f t="shared" si="15"/>
        <v>0</v>
      </c>
      <c r="I324" s="509">
        <f t="shared" si="16"/>
        <v>0</v>
      </c>
      <c r="J324" s="509"/>
      <c r="K324" s="640"/>
      <c r="L324" s="514"/>
      <c r="M324" s="640"/>
      <c r="N324" s="514"/>
      <c r="O324" s="514"/>
    </row>
    <row r="325" spans="3:15">
      <c r="C325" s="505">
        <f>IF(D274="","-",+C324+1)</f>
        <v>2058</v>
      </c>
      <c r="D325" s="469">
        <f t="shared" si="13"/>
        <v>0</v>
      </c>
      <c r="E325" s="511">
        <f t="shared" si="17"/>
        <v>0</v>
      </c>
      <c r="F325" s="469">
        <f t="shared" si="12"/>
        <v>0</v>
      </c>
      <c r="G325" s="935">
        <f t="shared" si="14"/>
        <v>0</v>
      </c>
      <c r="H325" s="938">
        <f t="shared" si="15"/>
        <v>0</v>
      </c>
      <c r="I325" s="509">
        <f t="shared" si="16"/>
        <v>0</v>
      </c>
      <c r="J325" s="509"/>
      <c r="K325" s="640"/>
      <c r="L325" s="514"/>
      <c r="M325" s="640"/>
      <c r="N325" s="514"/>
      <c r="O325" s="514"/>
    </row>
    <row r="326" spans="3:15">
      <c r="C326" s="505">
        <f>IF(D274="","-",+C325+1)</f>
        <v>2059</v>
      </c>
      <c r="D326" s="469">
        <f t="shared" si="13"/>
        <v>0</v>
      </c>
      <c r="E326" s="511">
        <f t="shared" si="17"/>
        <v>0</v>
      </c>
      <c r="F326" s="469">
        <f t="shared" si="12"/>
        <v>0</v>
      </c>
      <c r="G326" s="935">
        <f t="shared" si="14"/>
        <v>0</v>
      </c>
      <c r="H326" s="938">
        <f t="shared" si="15"/>
        <v>0</v>
      </c>
      <c r="I326" s="509">
        <f t="shared" si="16"/>
        <v>0</v>
      </c>
      <c r="J326" s="509"/>
      <c r="K326" s="640"/>
      <c r="L326" s="514"/>
      <c r="M326" s="640"/>
      <c r="N326" s="514"/>
      <c r="O326" s="514"/>
    </row>
    <row r="327" spans="3:15">
      <c r="C327" s="505">
        <f>IF(D274="","-",+C326+1)</f>
        <v>2060</v>
      </c>
      <c r="D327" s="469">
        <f t="shared" si="13"/>
        <v>0</v>
      </c>
      <c r="E327" s="511">
        <f t="shared" si="17"/>
        <v>0</v>
      </c>
      <c r="F327" s="469">
        <f t="shared" si="12"/>
        <v>0</v>
      </c>
      <c r="G327" s="935">
        <f t="shared" si="14"/>
        <v>0</v>
      </c>
      <c r="H327" s="938">
        <f t="shared" si="15"/>
        <v>0</v>
      </c>
      <c r="I327" s="509">
        <f t="shared" si="16"/>
        <v>0</v>
      </c>
      <c r="J327" s="509"/>
      <c r="K327" s="640"/>
      <c r="L327" s="514"/>
      <c r="M327" s="640"/>
      <c r="N327" s="514"/>
      <c r="O327" s="514"/>
    </row>
    <row r="328" spans="3:15">
      <c r="C328" s="505">
        <f>IF(D274="","-",+C327+1)</f>
        <v>2061</v>
      </c>
      <c r="D328" s="469">
        <f t="shared" si="13"/>
        <v>0</v>
      </c>
      <c r="E328" s="511">
        <f t="shared" si="17"/>
        <v>0</v>
      </c>
      <c r="F328" s="469">
        <f t="shared" si="12"/>
        <v>0</v>
      </c>
      <c r="G328" s="935">
        <f t="shared" si="14"/>
        <v>0</v>
      </c>
      <c r="H328" s="938">
        <f t="shared" si="15"/>
        <v>0</v>
      </c>
      <c r="I328" s="509">
        <f t="shared" si="16"/>
        <v>0</v>
      </c>
      <c r="J328" s="509"/>
      <c r="K328" s="640"/>
      <c r="L328" s="514"/>
      <c r="M328" s="640"/>
      <c r="N328" s="514"/>
      <c r="O328" s="514"/>
    </row>
    <row r="329" spans="3:15">
      <c r="C329" s="505">
        <f>IF(D274="","-",+C328+1)</f>
        <v>2062</v>
      </c>
      <c r="D329" s="469">
        <f t="shared" si="13"/>
        <v>0</v>
      </c>
      <c r="E329" s="511">
        <f t="shared" si="17"/>
        <v>0</v>
      </c>
      <c r="F329" s="469">
        <f t="shared" si="12"/>
        <v>0</v>
      </c>
      <c r="G329" s="935">
        <f t="shared" si="14"/>
        <v>0</v>
      </c>
      <c r="H329" s="938">
        <f t="shared" si="15"/>
        <v>0</v>
      </c>
      <c r="I329" s="509">
        <f t="shared" si="16"/>
        <v>0</v>
      </c>
      <c r="J329" s="509"/>
      <c r="K329" s="640"/>
      <c r="L329" s="514"/>
      <c r="M329" s="640"/>
      <c r="N329" s="514"/>
      <c r="O329" s="514"/>
    </row>
    <row r="330" spans="3:15">
      <c r="C330" s="505">
        <f>IF(D274="","-",+C329+1)</f>
        <v>2063</v>
      </c>
      <c r="D330" s="469">
        <f t="shared" si="13"/>
        <v>0</v>
      </c>
      <c r="E330" s="511">
        <f t="shared" si="17"/>
        <v>0</v>
      </c>
      <c r="F330" s="469">
        <f t="shared" si="12"/>
        <v>0</v>
      </c>
      <c r="G330" s="935">
        <f t="shared" si="14"/>
        <v>0</v>
      </c>
      <c r="H330" s="938">
        <f t="shared" si="15"/>
        <v>0</v>
      </c>
      <c r="I330" s="509">
        <f t="shared" si="16"/>
        <v>0</v>
      </c>
      <c r="J330" s="509"/>
      <c r="K330" s="640"/>
      <c r="L330" s="514"/>
      <c r="M330" s="640"/>
      <c r="N330" s="514"/>
      <c r="O330" s="514"/>
    </row>
    <row r="331" spans="3:15">
      <c r="C331" s="505">
        <f>IF(D274="","-",+C330+1)</f>
        <v>2064</v>
      </c>
      <c r="D331" s="469">
        <f t="shared" si="13"/>
        <v>0</v>
      </c>
      <c r="E331" s="511">
        <f t="shared" si="17"/>
        <v>0</v>
      </c>
      <c r="F331" s="469">
        <f t="shared" si="12"/>
        <v>0</v>
      </c>
      <c r="G331" s="935">
        <f t="shared" si="14"/>
        <v>0</v>
      </c>
      <c r="H331" s="938">
        <f t="shared" si="15"/>
        <v>0</v>
      </c>
      <c r="I331" s="509">
        <f t="shared" si="16"/>
        <v>0</v>
      </c>
      <c r="J331" s="509"/>
      <c r="K331" s="640"/>
      <c r="L331" s="514"/>
      <c r="M331" s="640"/>
      <c r="N331" s="514"/>
      <c r="O331" s="514"/>
    </row>
    <row r="332" spans="3:15">
      <c r="C332" s="505">
        <f>IF(D274="","-",+C331+1)</f>
        <v>2065</v>
      </c>
      <c r="D332" s="469">
        <f t="shared" si="13"/>
        <v>0</v>
      </c>
      <c r="E332" s="511">
        <f t="shared" si="17"/>
        <v>0</v>
      </c>
      <c r="F332" s="469">
        <f t="shared" si="12"/>
        <v>0</v>
      </c>
      <c r="G332" s="935">
        <f t="shared" si="14"/>
        <v>0</v>
      </c>
      <c r="H332" s="938">
        <f t="shared" si="15"/>
        <v>0</v>
      </c>
      <c r="I332" s="509">
        <f t="shared" si="16"/>
        <v>0</v>
      </c>
      <c r="J332" s="509"/>
      <c r="K332" s="640"/>
      <c r="L332" s="514"/>
      <c r="M332" s="640"/>
      <c r="N332" s="514"/>
      <c r="O332" s="514"/>
    </row>
    <row r="333" spans="3:15">
      <c r="C333" s="505">
        <f>IF(D274="","-",+C332+1)</f>
        <v>2066</v>
      </c>
      <c r="D333" s="469">
        <f t="shared" si="13"/>
        <v>0</v>
      </c>
      <c r="E333" s="511">
        <f t="shared" si="17"/>
        <v>0</v>
      </c>
      <c r="F333" s="469">
        <f t="shared" si="12"/>
        <v>0</v>
      </c>
      <c r="G333" s="935">
        <f t="shared" si="14"/>
        <v>0</v>
      </c>
      <c r="H333" s="938">
        <f t="shared" si="15"/>
        <v>0</v>
      </c>
      <c r="I333" s="509">
        <f t="shared" si="16"/>
        <v>0</v>
      </c>
      <c r="J333" s="509"/>
      <c r="K333" s="640"/>
      <c r="L333" s="514"/>
      <c r="M333" s="640"/>
      <c r="N333" s="514"/>
      <c r="O333" s="514"/>
    </row>
    <row r="334" spans="3:15">
      <c r="C334" s="505">
        <f>IF(D274="","-",+C333+1)</f>
        <v>2067</v>
      </c>
      <c r="D334" s="469">
        <f t="shared" si="13"/>
        <v>0</v>
      </c>
      <c r="E334" s="511">
        <f t="shared" si="17"/>
        <v>0</v>
      </c>
      <c r="F334" s="469">
        <f t="shared" si="12"/>
        <v>0</v>
      </c>
      <c r="G334" s="935">
        <f t="shared" si="14"/>
        <v>0</v>
      </c>
      <c r="H334" s="938">
        <f t="shared" si="15"/>
        <v>0</v>
      </c>
      <c r="I334" s="509">
        <f t="shared" si="16"/>
        <v>0</v>
      </c>
      <c r="J334" s="509"/>
      <c r="K334" s="640"/>
      <c r="L334" s="514"/>
      <c r="M334" s="640"/>
      <c r="N334" s="514"/>
      <c r="O334" s="514"/>
    </row>
    <row r="335" spans="3:15">
      <c r="C335" s="505">
        <f>IF(D274="","-",+C334+1)</f>
        <v>2068</v>
      </c>
      <c r="D335" s="469">
        <f t="shared" si="13"/>
        <v>0</v>
      </c>
      <c r="E335" s="511">
        <f t="shared" si="17"/>
        <v>0</v>
      </c>
      <c r="F335" s="469">
        <f t="shared" si="12"/>
        <v>0</v>
      </c>
      <c r="G335" s="935">
        <f t="shared" si="14"/>
        <v>0</v>
      </c>
      <c r="H335" s="938">
        <f t="shared" si="15"/>
        <v>0</v>
      </c>
      <c r="I335" s="509">
        <f t="shared" si="16"/>
        <v>0</v>
      </c>
      <c r="J335" s="509"/>
      <c r="K335" s="640"/>
      <c r="L335" s="514"/>
      <c r="M335" s="640"/>
      <c r="N335" s="514"/>
      <c r="O335" s="514"/>
    </row>
    <row r="336" spans="3:15">
      <c r="C336" s="505">
        <f>IF(D274="","-",+C335+1)</f>
        <v>2069</v>
      </c>
      <c r="D336" s="469">
        <f t="shared" si="13"/>
        <v>0</v>
      </c>
      <c r="E336" s="511">
        <f t="shared" si="17"/>
        <v>0</v>
      </c>
      <c r="F336" s="469">
        <f t="shared" si="12"/>
        <v>0</v>
      </c>
      <c r="G336" s="935">
        <f t="shared" si="14"/>
        <v>0</v>
      </c>
      <c r="H336" s="938">
        <f t="shared" si="15"/>
        <v>0</v>
      </c>
      <c r="I336" s="509">
        <f t="shared" si="16"/>
        <v>0</v>
      </c>
      <c r="J336" s="509"/>
      <c r="K336" s="640"/>
      <c r="L336" s="514"/>
      <c r="M336" s="640"/>
      <c r="N336" s="514"/>
      <c r="O336" s="514"/>
    </row>
    <row r="337" spans="1:16">
      <c r="C337" s="505">
        <f>IF(D274="","-",+C336+1)</f>
        <v>2070</v>
      </c>
      <c r="D337" s="469">
        <f t="shared" si="13"/>
        <v>0</v>
      </c>
      <c r="E337" s="511">
        <f t="shared" si="17"/>
        <v>0</v>
      </c>
      <c r="F337" s="469">
        <f t="shared" si="12"/>
        <v>0</v>
      </c>
      <c r="G337" s="935">
        <f t="shared" si="14"/>
        <v>0</v>
      </c>
      <c r="H337" s="938">
        <f t="shared" si="15"/>
        <v>0</v>
      </c>
      <c r="I337" s="509">
        <f t="shared" si="16"/>
        <v>0</v>
      </c>
      <c r="J337" s="509"/>
      <c r="K337" s="640"/>
      <c r="L337" s="514"/>
      <c r="M337" s="640"/>
      <c r="N337" s="514"/>
      <c r="O337" s="514"/>
    </row>
    <row r="338" spans="1:16">
      <c r="C338" s="505">
        <f>IF(D274="","-",+C337+1)</f>
        <v>2071</v>
      </c>
      <c r="D338" s="469">
        <f t="shared" si="13"/>
        <v>0</v>
      </c>
      <c r="E338" s="511">
        <f t="shared" si="17"/>
        <v>0</v>
      </c>
      <c r="F338" s="469">
        <f t="shared" si="12"/>
        <v>0</v>
      </c>
      <c r="G338" s="935">
        <f t="shared" si="14"/>
        <v>0</v>
      </c>
      <c r="H338" s="938">
        <f t="shared" si="15"/>
        <v>0</v>
      </c>
      <c r="I338" s="509">
        <f t="shared" si="16"/>
        <v>0</v>
      </c>
      <c r="J338" s="509"/>
      <c r="K338" s="640"/>
      <c r="L338" s="514"/>
      <c r="M338" s="640"/>
      <c r="N338" s="514"/>
      <c r="O338" s="514"/>
    </row>
    <row r="339" spans="1:16" ht="13.5" thickBot="1">
      <c r="C339" s="515">
        <f>IF(D274="","-",+C338+1)</f>
        <v>2072</v>
      </c>
      <c r="D339" s="516">
        <f t="shared" si="13"/>
        <v>0</v>
      </c>
      <c r="E339" s="517">
        <f t="shared" si="17"/>
        <v>0</v>
      </c>
      <c r="F339" s="516">
        <f t="shared" si="12"/>
        <v>0</v>
      </c>
      <c r="G339" s="946">
        <f t="shared" si="14"/>
        <v>0</v>
      </c>
      <c r="H339" s="946">
        <f t="shared" si="15"/>
        <v>0</v>
      </c>
      <c r="I339" s="519">
        <f t="shared" si="16"/>
        <v>0</v>
      </c>
      <c r="J339" s="509"/>
      <c r="K339" s="641"/>
      <c r="L339" s="521"/>
      <c r="M339" s="641"/>
      <c r="N339" s="521"/>
      <c r="O339" s="521"/>
    </row>
    <row r="340" spans="1:16">
      <c r="C340" s="469" t="s">
        <v>288</v>
      </c>
      <c r="D340" s="915"/>
      <c r="E340" s="469"/>
      <c r="F340" s="915"/>
      <c r="G340" s="915">
        <f>SUM(G280:G339)</f>
        <v>3961423.472018451</v>
      </c>
      <c r="H340" s="915">
        <f>SUM(H280:H339)</f>
        <v>3961423.472018451</v>
      </c>
      <c r="I340" s="915">
        <f>SUM(I280:I339)</f>
        <v>0</v>
      </c>
      <c r="J340" s="915"/>
      <c r="K340" s="915"/>
      <c r="L340" s="915"/>
      <c r="M340" s="915"/>
      <c r="N340" s="915"/>
      <c r="O340" s="4"/>
    </row>
    <row r="341" spans="1:16">
      <c r="D341" s="79"/>
      <c r="E341" s="4"/>
      <c r="F341" s="4"/>
      <c r="G341" s="4"/>
      <c r="H341" s="914"/>
      <c r="I341" s="914"/>
      <c r="J341" s="915"/>
      <c r="K341" s="914"/>
      <c r="L341" s="914"/>
      <c r="M341" s="914"/>
      <c r="N341" s="914"/>
      <c r="O341" s="4"/>
    </row>
    <row r="342" spans="1:16">
      <c r="C342" s="4" t="s">
        <v>595</v>
      </c>
      <c r="D342" s="79"/>
      <c r="E342" s="4"/>
      <c r="F342" s="4"/>
      <c r="G342" s="4"/>
      <c r="H342" s="914"/>
      <c r="I342" s="914"/>
      <c r="J342" s="915"/>
      <c r="K342" s="914"/>
      <c r="L342" s="914"/>
      <c r="M342" s="914"/>
      <c r="N342" s="914"/>
      <c r="O342" s="4"/>
    </row>
    <row r="343" spans="1:16">
      <c r="C343" s="4"/>
      <c r="D343" s="79"/>
      <c r="E343" s="4"/>
      <c r="F343" s="4"/>
      <c r="G343" s="4"/>
      <c r="H343" s="914"/>
      <c r="I343" s="914"/>
      <c r="J343" s="915"/>
      <c r="K343" s="914"/>
      <c r="L343" s="914"/>
      <c r="M343" s="914"/>
      <c r="N343" s="914"/>
      <c r="O343" s="4"/>
    </row>
    <row r="344" spans="1:16">
      <c r="C344" s="479" t="s">
        <v>924</v>
      </c>
      <c r="D344" s="469"/>
      <c r="E344" s="469"/>
      <c r="F344" s="469"/>
      <c r="G344" s="915"/>
      <c r="H344" s="915"/>
      <c r="I344" s="471"/>
      <c r="J344" s="471"/>
      <c r="K344" s="471"/>
      <c r="L344" s="471"/>
      <c r="M344" s="471"/>
      <c r="N344" s="471"/>
      <c r="O344" s="4"/>
    </row>
    <row r="345" spans="1:16">
      <c r="C345" s="479" t="s">
        <v>476</v>
      </c>
      <c r="D345" s="469"/>
      <c r="E345" s="469"/>
      <c r="F345" s="469"/>
      <c r="G345" s="915"/>
      <c r="H345" s="915"/>
      <c r="I345" s="471"/>
      <c r="J345" s="471"/>
      <c r="K345" s="471"/>
      <c r="L345" s="471"/>
      <c r="M345" s="471"/>
      <c r="N345" s="471"/>
      <c r="O345" s="4"/>
    </row>
    <row r="346" spans="1:16">
      <c r="C346" s="470" t="s">
        <v>289</v>
      </c>
      <c r="D346" s="469"/>
      <c r="E346" s="469"/>
      <c r="F346" s="469"/>
      <c r="G346" s="915"/>
      <c r="H346" s="915"/>
      <c r="I346" s="471"/>
      <c r="J346" s="471"/>
      <c r="K346" s="471"/>
      <c r="L346" s="471"/>
      <c r="M346" s="471"/>
      <c r="N346" s="471"/>
      <c r="O346" s="4"/>
    </row>
    <row r="347" spans="1:16">
      <c r="C347" s="470"/>
      <c r="D347" s="469"/>
      <c r="E347" s="469"/>
      <c r="F347" s="469"/>
      <c r="G347" s="915"/>
      <c r="H347" s="915"/>
      <c r="I347" s="471"/>
      <c r="J347" s="471"/>
      <c r="K347" s="471"/>
      <c r="L347" s="471"/>
      <c r="M347" s="471"/>
      <c r="N347" s="471"/>
      <c r="O347" s="4"/>
    </row>
    <row r="348" spans="1:16">
      <c r="C348" s="1275" t="s">
        <v>460</v>
      </c>
      <c r="D348" s="1275"/>
      <c r="E348" s="1275"/>
      <c r="F348" s="1275"/>
      <c r="G348" s="1275"/>
      <c r="H348" s="1275"/>
      <c r="I348" s="1275"/>
      <c r="J348" s="1275"/>
      <c r="K348" s="1275"/>
      <c r="L348" s="1275"/>
      <c r="M348" s="1275"/>
      <c r="N348" s="1275"/>
      <c r="O348" s="1275"/>
    </row>
    <row r="349" spans="1:16">
      <c r="C349" s="1275"/>
      <c r="D349" s="1275"/>
      <c r="E349" s="1275"/>
      <c r="F349" s="1275"/>
      <c r="G349" s="1275"/>
      <c r="H349" s="1275"/>
      <c r="I349" s="1275"/>
      <c r="J349" s="1275"/>
      <c r="K349" s="1275"/>
      <c r="L349" s="1275"/>
      <c r="M349" s="1275"/>
      <c r="N349" s="1275"/>
      <c r="O349" s="1275"/>
    </row>
    <row r="350" spans="1:16">
      <c r="H350" s="947"/>
    </row>
    <row r="351" spans="1:16" ht="20.25">
      <c r="A351" s="411" t="s">
        <v>921</v>
      </c>
      <c r="B351" s="4"/>
      <c r="C351" s="4"/>
      <c r="D351" s="79"/>
      <c r="E351" s="4"/>
      <c r="F351" s="81"/>
      <c r="G351" s="4"/>
      <c r="H351" s="914"/>
      <c r="K351" s="11"/>
      <c r="L351" s="11"/>
      <c r="M351" s="11"/>
      <c r="N351" s="11" t="str">
        <f>"Page "&amp;SUM(P$6:P351)&amp;" of "</f>
        <v xml:space="preserve">Page 4 of </v>
      </c>
      <c r="O351" s="412">
        <f>COUNT(P$6:P$59579)</f>
        <v>22</v>
      </c>
      <c r="P351" s="4">
        <v>1</v>
      </c>
    </row>
    <row r="352" spans="1:16">
      <c r="B352" s="4"/>
      <c r="C352" s="4"/>
      <c r="D352" s="79"/>
      <c r="E352" s="4"/>
      <c r="F352" s="4"/>
      <c r="G352" s="4"/>
      <c r="H352" s="914"/>
      <c r="I352" s="4"/>
      <c r="J352" s="4"/>
      <c r="K352" s="4"/>
      <c r="L352" s="4"/>
      <c r="M352" s="4"/>
      <c r="N352" s="4"/>
      <c r="O352" s="4"/>
    </row>
    <row r="353" spans="1:15" ht="18">
      <c r="B353" s="413" t="s">
        <v>174</v>
      </c>
      <c r="C353" s="472" t="s">
        <v>290</v>
      </c>
      <c r="D353" s="79"/>
      <c r="E353" s="4"/>
      <c r="F353" s="4"/>
      <c r="G353" s="4"/>
      <c r="H353" s="914"/>
      <c r="I353" s="914"/>
      <c r="J353" s="915"/>
      <c r="K353" s="914"/>
      <c r="L353" s="914"/>
      <c r="M353" s="914"/>
      <c r="N353" s="914"/>
      <c r="O353" s="4"/>
    </row>
    <row r="354" spans="1:15" ht="18.75">
      <c r="B354" s="413"/>
      <c r="C354" s="13"/>
      <c r="D354" s="79"/>
      <c r="E354" s="4"/>
      <c r="F354" s="4"/>
      <c r="G354" s="4"/>
      <c r="H354" s="914"/>
      <c r="I354" s="914"/>
      <c r="J354" s="915"/>
      <c r="K354" s="914"/>
      <c r="L354" s="914"/>
      <c r="M354" s="914"/>
      <c r="N354" s="914"/>
      <c r="O354" s="4"/>
    </row>
    <row r="355" spans="1:15" ht="18.75">
      <c r="B355" s="413"/>
      <c r="C355" s="13" t="s">
        <v>291</v>
      </c>
      <c r="D355" s="79"/>
      <c r="E355" s="4"/>
      <c r="F355" s="4"/>
      <c r="G355" s="4"/>
      <c r="H355" s="914"/>
      <c r="I355" s="914"/>
      <c r="J355" s="915"/>
      <c r="K355" s="914"/>
      <c r="L355" s="914"/>
      <c r="M355" s="914"/>
      <c r="N355" s="914"/>
      <c r="O355" s="4"/>
    </row>
    <row r="356" spans="1:15" ht="15.75" thickBot="1">
      <c r="C356" s="247"/>
      <c r="D356" s="79"/>
      <c r="E356" s="4"/>
      <c r="F356" s="4"/>
      <c r="G356" s="4"/>
      <c r="H356" s="914"/>
      <c r="I356" s="914"/>
      <c r="J356" s="915"/>
      <c r="K356" s="914"/>
      <c r="L356" s="914"/>
      <c r="M356" s="914"/>
      <c r="N356" s="914"/>
      <c r="O356" s="4"/>
    </row>
    <row r="357" spans="1:15" ht="15.75">
      <c r="C357" s="414" t="s">
        <v>292</v>
      </c>
      <c r="D357" s="79"/>
      <c r="E357" s="4"/>
      <c r="F357" s="4"/>
      <c r="G357" s="948"/>
      <c r="H357" s="4" t="s">
        <v>271</v>
      </c>
      <c r="I357" s="4"/>
      <c r="J357" s="4"/>
      <c r="K357" s="473" t="s">
        <v>296</v>
      </c>
      <c r="L357" s="474"/>
      <c r="M357" s="475"/>
      <c r="N357" s="917">
        <f>VLOOKUP(I363,C370:O429,5)</f>
        <v>898134.45533694746</v>
      </c>
      <c r="O357" s="4"/>
    </row>
    <row r="358" spans="1:15" ht="15.75">
      <c r="C358" s="414"/>
      <c r="D358" s="79"/>
      <c r="E358" s="4"/>
      <c r="F358" s="4"/>
      <c r="G358" s="4"/>
      <c r="H358" s="918"/>
      <c r="I358" s="918"/>
      <c r="J358" s="919"/>
      <c r="K358" s="478" t="s">
        <v>297</v>
      </c>
      <c r="L358" s="920"/>
      <c r="M358" s="4"/>
      <c r="N358" s="921">
        <f>VLOOKUP(I363,C370:O429,6)</f>
        <v>898134.45533694746</v>
      </c>
      <c r="O358" s="4"/>
    </row>
    <row r="359" spans="1:15" ht="13.5" thickBot="1">
      <c r="C359" s="479" t="s">
        <v>293</v>
      </c>
      <c r="D359" s="1278" t="s">
        <v>927</v>
      </c>
      <c r="E359" s="1279"/>
      <c r="F359" s="1279"/>
      <c r="G359" s="1279"/>
      <c r="H359" s="1279"/>
      <c r="I359" s="1279"/>
      <c r="J359" s="915"/>
      <c r="K359" s="922" t="s">
        <v>450</v>
      </c>
      <c r="L359" s="923"/>
      <c r="M359" s="923"/>
      <c r="N359" s="924">
        <f>+N358-N357</f>
        <v>0</v>
      </c>
      <c r="O359" s="4"/>
    </row>
    <row r="360" spans="1:15">
      <c r="C360" s="481"/>
      <c r="D360" s="1279"/>
      <c r="E360" s="1279"/>
      <c r="F360" s="1279"/>
      <c r="G360" s="1279"/>
      <c r="H360" s="1279"/>
      <c r="I360" s="1279"/>
      <c r="J360" s="915"/>
      <c r="K360" s="914"/>
      <c r="L360" s="914"/>
      <c r="M360" s="914"/>
      <c r="N360" s="914"/>
      <c r="O360" s="4"/>
    </row>
    <row r="361" spans="1:15" ht="13.5" thickBot="1">
      <c r="C361" s="481"/>
      <c r="D361" s="925"/>
      <c r="E361" s="483"/>
      <c r="F361" s="483"/>
      <c r="G361" s="483"/>
      <c r="H361" s="483"/>
      <c r="I361" s="483"/>
      <c r="J361" s="483"/>
      <c r="K361" s="483"/>
      <c r="L361" s="483"/>
      <c r="M361" s="483"/>
      <c r="N361" s="483"/>
      <c r="O361" s="4"/>
    </row>
    <row r="362" spans="1:15" ht="13.5" thickBot="1">
      <c r="C362" s="484" t="s">
        <v>294</v>
      </c>
      <c r="D362" s="485"/>
      <c r="E362" s="485"/>
      <c r="F362" s="485"/>
      <c r="G362" s="485"/>
      <c r="H362" s="485"/>
      <c r="I362" s="486"/>
      <c r="K362" s="4"/>
      <c r="L362" s="4"/>
      <c r="M362" s="4"/>
      <c r="N362" s="4"/>
      <c r="O362" s="4"/>
    </row>
    <row r="363" spans="1:15" ht="15">
      <c r="C363" s="487" t="s">
        <v>272</v>
      </c>
      <c r="D363" s="926">
        <v>5705686</v>
      </c>
      <c r="E363" s="4" t="s">
        <v>273</v>
      </c>
      <c r="G363" s="79"/>
      <c r="H363" s="79"/>
      <c r="I363" s="488">
        <v>2018</v>
      </c>
      <c r="J363" s="135"/>
      <c r="K363" s="1277" t="s">
        <v>459</v>
      </c>
      <c r="L363" s="1277"/>
      <c r="M363" s="1277"/>
      <c r="N363" s="1277"/>
      <c r="O363" s="1277"/>
    </row>
    <row r="364" spans="1:15">
      <c r="C364" s="487" t="s">
        <v>275</v>
      </c>
      <c r="D364" s="644">
        <v>2013</v>
      </c>
      <c r="E364" s="487" t="s">
        <v>276</v>
      </c>
      <c r="F364" s="79"/>
      <c r="H364"/>
      <c r="I364" s="927">
        <f>IF(G357="",0,$F$15)</f>
        <v>0</v>
      </c>
      <c r="J364" s="489"/>
      <c r="K364" s="915" t="s">
        <v>459</v>
      </c>
    </row>
    <row r="365" spans="1:15">
      <c r="C365" s="487" t="s">
        <v>277</v>
      </c>
      <c r="D365" s="952">
        <v>11</v>
      </c>
      <c r="E365" s="487" t="s">
        <v>278</v>
      </c>
      <c r="F365" s="79"/>
      <c r="H365"/>
      <c r="I365" s="490">
        <f>$G$70</f>
        <v>0.14996626714737105</v>
      </c>
      <c r="J365" s="81"/>
      <c r="K365" t="str">
        <f>"          INPUT PROJECTED ARR (WITH &amp; WITHOUT INCENTIVES) FROM EACH PRIOR YEAR"</f>
        <v xml:space="preserve">          INPUT PROJECTED ARR (WITH &amp; WITHOUT INCENTIVES) FROM EACH PRIOR YEAR</v>
      </c>
    </row>
    <row r="366" spans="1:15">
      <c r="C366" s="487" t="s">
        <v>279</v>
      </c>
      <c r="D366" s="491">
        <f>G$79</f>
        <v>42</v>
      </c>
      <c r="E366" s="487" t="s">
        <v>280</v>
      </c>
      <c r="F366" s="79"/>
      <c r="H366"/>
      <c r="I366" s="490">
        <f>IF(G357="",I365,$G$67)</f>
        <v>0.14996626714737105</v>
      </c>
      <c r="J366" s="81"/>
      <c r="K366" t="s">
        <v>357</v>
      </c>
    </row>
    <row r="367" spans="1:15" ht="13.5" thickBot="1">
      <c r="C367" s="487" t="s">
        <v>281</v>
      </c>
      <c r="D367" s="637" t="s">
        <v>923</v>
      </c>
      <c r="E367" s="492" t="s">
        <v>282</v>
      </c>
      <c r="F367" s="493"/>
      <c r="G367" s="494"/>
      <c r="H367" s="494"/>
      <c r="I367" s="924">
        <f>IF(D363=0,0,D363/D366)</f>
        <v>135849.66666666666</v>
      </c>
      <c r="J367" s="915"/>
      <c r="K367" s="915" t="s">
        <v>363</v>
      </c>
      <c r="L367" s="915"/>
      <c r="M367" s="915"/>
      <c r="N367" s="915"/>
      <c r="O367" s="4"/>
    </row>
    <row r="368" spans="1:15" ht="51">
      <c r="A368" s="12"/>
      <c r="B368" s="12"/>
      <c r="C368" s="495" t="s">
        <v>272</v>
      </c>
      <c r="D368" s="928" t="s">
        <v>283</v>
      </c>
      <c r="E368" s="929" t="s">
        <v>284</v>
      </c>
      <c r="F368" s="928" t="s">
        <v>285</v>
      </c>
      <c r="G368" s="929" t="s">
        <v>356</v>
      </c>
      <c r="H368" s="930" t="s">
        <v>356</v>
      </c>
      <c r="I368" s="495" t="s">
        <v>295</v>
      </c>
      <c r="J368" s="499"/>
      <c r="K368" s="929" t="s">
        <v>365</v>
      </c>
      <c r="L368" s="931"/>
      <c r="M368" s="929" t="s">
        <v>365</v>
      </c>
      <c r="N368" s="931"/>
      <c r="O368" s="931"/>
    </row>
    <row r="369" spans="3:15" ht="13.5" thickBot="1">
      <c r="C369" s="500" t="s">
        <v>177</v>
      </c>
      <c r="D369" s="501" t="s">
        <v>178</v>
      </c>
      <c r="E369" s="500" t="s">
        <v>37</v>
      </c>
      <c r="F369" s="501" t="s">
        <v>178</v>
      </c>
      <c r="G369" s="932" t="s">
        <v>298</v>
      </c>
      <c r="H369" s="933" t="s">
        <v>300</v>
      </c>
      <c r="I369" s="500" t="s">
        <v>389</v>
      </c>
      <c r="J369" s="504"/>
      <c r="K369" s="932" t="s">
        <v>287</v>
      </c>
      <c r="L369" s="934"/>
      <c r="M369" s="932" t="s">
        <v>300</v>
      </c>
      <c r="N369" s="934"/>
      <c r="O369" s="934"/>
    </row>
    <row r="370" spans="3:15">
      <c r="C370" s="505">
        <f>IF(D364= "","-",D364)</f>
        <v>2013</v>
      </c>
      <c r="D370" s="469">
        <f>+D363</f>
        <v>5705686</v>
      </c>
      <c r="E370" s="935">
        <f>+I367/12*(12-D365)</f>
        <v>11320.805555555555</v>
      </c>
      <c r="F370" s="469">
        <f t="shared" ref="F370:F429" si="18">+D370-E370</f>
        <v>5694365.194444444</v>
      </c>
      <c r="G370" s="936">
        <f>+$I$365*((D370+F370)/2)+E370</f>
        <v>866132.36701543641</v>
      </c>
      <c r="H370" s="937">
        <f>$I$366*((D370+F370)/2)+E370</f>
        <v>866132.36701543641</v>
      </c>
      <c r="I370" s="509">
        <f>+H370-G370</f>
        <v>0</v>
      </c>
      <c r="J370" s="509"/>
      <c r="K370" s="949">
        <v>528784</v>
      </c>
      <c r="L370" s="510"/>
      <c r="M370" s="949">
        <v>528784</v>
      </c>
      <c r="N370" s="510"/>
      <c r="O370" s="510"/>
    </row>
    <row r="371" spans="3:15">
      <c r="C371" s="505">
        <f>IF(D364="","-",+C370+1)</f>
        <v>2014</v>
      </c>
      <c r="D371" s="469">
        <f t="shared" ref="D371:D429" si="19">F370</f>
        <v>5694365.194444444</v>
      </c>
      <c r="E371" s="511">
        <f>IF(D371&gt;$I$367,$I$367,D371)</f>
        <v>135849.66666666666</v>
      </c>
      <c r="F371" s="469">
        <f t="shared" si="18"/>
        <v>5558515.5277777771</v>
      </c>
      <c r="G371" s="935">
        <f t="shared" ref="G371:G429" si="20">+$I$365*((D371+F371)/2)+E371</f>
        <v>979625.92494980618</v>
      </c>
      <c r="H371" s="938">
        <f t="shared" ref="H371:H429" si="21">$I$366*((D371+F371)/2)+E371</f>
        <v>979625.92494980618</v>
      </c>
      <c r="I371" s="509">
        <f t="shared" ref="I371:I429" si="22">+H371-G371</f>
        <v>0</v>
      </c>
      <c r="J371" s="509"/>
      <c r="K371" s="640">
        <v>1017894</v>
      </c>
      <c r="L371" s="514"/>
      <c r="M371" s="640">
        <v>1017894</v>
      </c>
      <c r="N371" s="514"/>
      <c r="O371" s="514"/>
    </row>
    <row r="372" spans="3:15">
      <c r="C372" s="505">
        <f>IF(D364="","-",+C371+1)</f>
        <v>2015</v>
      </c>
      <c r="D372" s="469">
        <f t="shared" si="19"/>
        <v>5558515.5277777771</v>
      </c>
      <c r="E372" s="511">
        <f t="shared" ref="E372:E429" si="23">IF(D372&gt;$I$367,$I$367,D372)</f>
        <v>135849.66666666666</v>
      </c>
      <c r="F372" s="469">
        <f t="shared" si="18"/>
        <v>5422665.8611111101</v>
      </c>
      <c r="G372" s="935">
        <f t="shared" si="20"/>
        <v>959253.05754659162</v>
      </c>
      <c r="H372" s="938">
        <f t="shared" si="21"/>
        <v>959253.05754659162</v>
      </c>
      <c r="I372" s="509">
        <f t="shared" si="22"/>
        <v>0</v>
      </c>
      <c r="J372" s="509"/>
      <c r="K372" s="640">
        <v>953651</v>
      </c>
      <c r="L372" s="514"/>
      <c r="M372" s="640">
        <v>953651</v>
      </c>
      <c r="N372" s="514"/>
      <c r="O372" s="514"/>
    </row>
    <row r="373" spans="3:15">
      <c r="C373" s="505">
        <f>IF(D364="","-",+C372+1)</f>
        <v>2016</v>
      </c>
      <c r="D373" s="469">
        <f t="shared" si="19"/>
        <v>5422665.8611111101</v>
      </c>
      <c r="E373" s="511">
        <f t="shared" si="23"/>
        <v>135849.66666666666</v>
      </c>
      <c r="F373" s="469">
        <f t="shared" si="18"/>
        <v>5286816.1944444431</v>
      </c>
      <c r="G373" s="935">
        <f t="shared" si="20"/>
        <v>938880.19014337682</v>
      </c>
      <c r="H373" s="938">
        <f t="shared" si="21"/>
        <v>938880.19014337682</v>
      </c>
      <c r="I373" s="509">
        <f t="shared" si="22"/>
        <v>0</v>
      </c>
      <c r="J373" s="509"/>
      <c r="K373" s="640">
        <v>919468</v>
      </c>
      <c r="L373" s="514"/>
      <c r="M373" s="640">
        <v>919468</v>
      </c>
      <c r="N373" s="514"/>
      <c r="O373" s="514"/>
    </row>
    <row r="374" spans="3:15">
      <c r="C374" s="505">
        <f>IF(D364="","-",+C373+1)</f>
        <v>2017</v>
      </c>
      <c r="D374" s="469">
        <f t="shared" si="19"/>
        <v>5286816.1944444431</v>
      </c>
      <c r="E374" s="511">
        <f t="shared" si="23"/>
        <v>135849.66666666666</v>
      </c>
      <c r="F374" s="469">
        <f t="shared" si="18"/>
        <v>5150966.5277777761</v>
      </c>
      <c r="G374" s="935">
        <f t="shared" si="20"/>
        <v>918507.32274016226</v>
      </c>
      <c r="H374" s="938">
        <f t="shared" si="21"/>
        <v>918507.32274016226</v>
      </c>
      <c r="I374" s="509">
        <f t="shared" si="22"/>
        <v>0</v>
      </c>
      <c r="J374" s="509"/>
      <c r="K374" s="640">
        <v>929340</v>
      </c>
      <c r="L374" s="514"/>
      <c r="M374" s="640">
        <v>929340</v>
      </c>
      <c r="N374" s="514"/>
      <c r="O374" s="514"/>
    </row>
    <row r="375" spans="3:15">
      <c r="C375" s="940">
        <f>IF(D364="","-",+C374+1)</f>
        <v>2018</v>
      </c>
      <c r="D375" s="941">
        <f t="shared" si="19"/>
        <v>5150966.5277777761</v>
      </c>
      <c r="E375" s="942">
        <f t="shared" si="23"/>
        <v>135849.66666666666</v>
      </c>
      <c r="F375" s="941">
        <f t="shared" si="18"/>
        <v>5015116.8611111091</v>
      </c>
      <c r="G375" s="943">
        <f t="shared" si="20"/>
        <v>898134.45533694746</v>
      </c>
      <c r="H375" s="944">
        <f t="shared" si="21"/>
        <v>898134.45533694746</v>
      </c>
      <c r="I375" s="945">
        <f t="shared" si="22"/>
        <v>0</v>
      </c>
      <c r="J375" s="509"/>
      <c r="K375" s="640"/>
      <c r="L375" s="514"/>
      <c r="M375" s="640"/>
      <c r="N375" s="514"/>
      <c r="O375" s="514"/>
    </row>
    <row r="376" spans="3:15">
      <c r="C376" s="505">
        <f>IF(D364="","-",+C375+1)</f>
        <v>2019</v>
      </c>
      <c r="D376" s="469">
        <f t="shared" si="19"/>
        <v>5015116.8611111091</v>
      </c>
      <c r="E376" s="511">
        <f t="shared" si="23"/>
        <v>135849.66666666666</v>
      </c>
      <c r="F376" s="469">
        <f t="shared" si="18"/>
        <v>4879267.1944444422</v>
      </c>
      <c r="G376" s="935">
        <f t="shared" si="20"/>
        <v>877761.5879337329</v>
      </c>
      <c r="H376" s="938">
        <f t="shared" si="21"/>
        <v>877761.5879337329</v>
      </c>
      <c r="I376" s="509">
        <f t="shared" si="22"/>
        <v>0</v>
      </c>
      <c r="J376" s="509"/>
      <c r="K376" s="640"/>
      <c r="L376" s="514"/>
      <c r="M376" s="640"/>
      <c r="N376" s="514"/>
      <c r="O376" s="514"/>
    </row>
    <row r="377" spans="3:15">
      <c r="C377" s="505">
        <f>IF(D364="","-",+C376+1)</f>
        <v>2020</v>
      </c>
      <c r="D377" s="469">
        <f t="shared" si="19"/>
        <v>4879267.1944444422</v>
      </c>
      <c r="E377" s="511">
        <f t="shared" si="23"/>
        <v>135849.66666666666</v>
      </c>
      <c r="F377" s="469">
        <f t="shared" si="18"/>
        <v>4743417.5277777752</v>
      </c>
      <c r="G377" s="935">
        <f t="shared" si="20"/>
        <v>857388.7205305181</v>
      </c>
      <c r="H377" s="938">
        <f t="shared" si="21"/>
        <v>857388.7205305181</v>
      </c>
      <c r="I377" s="509">
        <f t="shared" si="22"/>
        <v>0</v>
      </c>
      <c r="J377" s="509"/>
      <c r="K377" s="640"/>
      <c r="L377" s="514"/>
      <c r="M377" s="640"/>
      <c r="N377" s="514"/>
      <c r="O377" s="514"/>
    </row>
    <row r="378" spans="3:15">
      <c r="C378" s="505">
        <f>IF(D364="","-",+C377+1)</f>
        <v>2021</v>
      </c>
      <c r="D378" s="469">
        <f t="shared" si="19"/>
        <v>4743417.5277777752</v>
      </c>
      <c r="E378" s="511">
        <f t="shared" si="23"/>
        <v>135849.66666666666</v>
      </c>
      <c r="F378" s="469">
        <f t="shared" si="18"/>
        <v>4607567.8611111082</v>
      </c>
      <c r="G378" s="935">
        <f t="shared" si="20"/>
        <v>837015.85312730353</v>
      </c>
      <c r="H378" s="938">
        <f t="shared" si="21"/>
        <v>837015.85312730353</v>
      </c>
      <c r="I378" s="509">
        <f t="shared" si="22"/>
        <v>0</v>
      </c>
      <c r="J378" s="509"/>
      <c r="K378" s="640"/>
      <c r="L378" s="514"/>
      <c r="M378" s="640"/>
      <c r="N378" s="514"/>
      <c r="O378" s="514"/>
    </row>
    <row r="379" spans="3:15">
      <c r="C379" s="505">
        <f>IF(D364="","-",+C378+1)</f>
        <v>2022</v>
      </c>
      <c r="D379" s="469">
        <f t="shared" si="19"/>
        <v>4607567.8611111082</v>
      </c>
      <c r="E379" s="511">
        <f t="shared" si="23"/>
        <v>135849.66666666666</v>
      </c>
      <c r="F379" s="469">
        <f t="shared" si="18"/>
        <v>4471718.1944444412</v>
      </c>
      <c r="G379" s="935">
        <f t="shared" si="20"/>
        <v>816642.98572408874</v>
      </c>
      <c r="H379" s="938">
        <f t="shared" si="21"/>
        <v>816642.98572408874</v>
      </c>
      <c r="I379" s="509">
        <f t="shared" si="22"/>
        <v>0</v>
      </c>
      <c r="J379" s="509"/>
      <c r="K379" s="640"/>
      <c r="L379" s="514"/>
      <c r="M379" s="640"/>
      <c r="N379" s="514"/>
      <c r="O379" s="514"/>
    </row>
    <row r="380" spans="3:15">
      <c r="C380" s="505">
        <f>IF(D364="","-",+C379+1)</f>
        <v>2023</v>
      </c>
      <c r="D380" s="469">
        <f t="shared" si="19"/>
        <v>4471718.1944444412</v>
      </c>
      <c r="E380" s="511">
        <f t="shared" si="23"/>
        <v>135849.66666666666</v>
      </c>
      <c r="F380" s="469">
        <f t="shared" si="18"/>
        <v>4335868.5277777743</v>
      </c>
      <c r="G380" s="935">
        <f t="shared" si="20"/>
        <v>796270.11832087417</v>
      </c>
      <c r="H380" s="938">
        <f t="shared" si="21"/>
        <v>796270.11832087417</v>
      </c>
      <c r="I380" s="509">
        <f t="shared" si="22"/>
        <v>0</v>
      </c>
      <c r="J380" s="509"/>
      <c r="K380" s="640"/>
      <c r="L380" s="514"/>
      <c r="M380" s="640"/>
      <c r="N380" s="514"/>
      <c r="O380" s="514"/>
    </row>
    <row r="381" spans="3:15">
      <c r="C381" s="505">
        <f>IF(D364="","-",+C380+1)</f>
        <v>2024</v>
      </c>
      <c r="D381" s="469">
        <f t="shared" si="19"/>
        <v>4335868.5277777743</v>
      </c>
      <c r="E381" s="511">
        <f t="shared" si="23"/>
        <v>135849.66666666666</v>
      </c>
      <c r="F381" s="469">
        <f t="shared" si="18"/>
        <v>4200018.8611111073</v>
      </c>
      <c r="G381" s="935">
        <f t="shared" si="20"/>
        <v>775897.25091765926</v>
      </c>
      <c r="H381" s="938">
        <f t="shared" si="21"/>
        <v>775897.25091765926</v>
      </c>
      <c r="I381" s="509">
        <f t="shared" si="22"/>
        <v>0</v>
      </c>
      <c r="J381" s="509"/>
      <c r="K381" s="640"/>
      <c r="L381" s="514"/>
      <c r="M381" s="640"/>
      <c r="N381" s="514"/>
      <c r="O381" s="514"/>
    </row>
    <row r="382" spans="3:15">
      <c r="C382" s="505">
        <f>IF(D364="","-",+C381+1)</f>
        <v>2025</v>
      </c>
      <c r="D382" s="469">
        <f t="shared" si="19"/>
        <v>4200018.8611111073</v>
      </c>
      <c r="E382" s="511">
        <f t="shared" si="23"/>
        <v>135849.66666666666</v>
      </c>
      <c r="F382" s="469">
        <f t="shared" si="18"/>
        <v>4064169.1944444408</v>
      </c>
      <c r="G382" s="935">
        <f t="shared" si="20"/>
        <v>755524.38351444481</v>
      </c>
      <c r="H382" s="938">
        <f t="shared" si="21"/>
        <v>755524.38351444481</v>
      </c>
      <c r="I382" s="509">
        <f t="shared" si="22"/>
        <v>0</v>
      </c>
      <c r="J382" s="509"/>
      <c r="K382" s="640"/>
      <c r="L382" s="514"/>
      <c r="M382" s="640"/>
      <c r="N382" s="514"/>
      <c r="O382" s="514"/>
    </row>
    <row r="383" spans="3:15">
      <c r="C383" s="505">
        <f>IF(D364="","-",+C382+1)</f>
        <v>2026</v>
      </c>
      <c r="D383" s="469">
        <f t="shared" si="19"/>
        <v>4064169.1944444408</v>
      </c>
      <c r="E383" s="511">
        <f t="shared" si="23"/>
        <v>135849.66666666666</v>
      </c>
      <c r="F383" s="469">
        <f t="shared" si="18"/>
        <v>3928319.5277777743</v>
      </c>
      <c r="G383" s="935">
        <f t="shared" si="20"/>
        <v>735151.51611123013</v>
      </c>
      <c r="H383" s="938">
        <f t="shared" si="21"/>
        <v>735151.51611123013</v>
      </c>
      <c r="I383" s="509">
        <f t="shared" si="22"/>
        <v>0</v>
      </c>
      <c r="J383" s="509"/>
      <c r="K383" s="640"/>
      <c r="L383" s="514"/>
      <c r="M383" s="640"/>
      <c r="N383" s="514"/>
      <c r="O383" s="514"/>
    </row>
    <row r="384" spans="3:15">
      <c r="C384" s="505">
        <f>IF(D364="","-",+C383+1)</f>
        <v>2027</v>
      </c>
      <c r="D384" s="469">
        <f t="shared" si="19"/>
        <v>3928319.5277777743</v>
      </c>
      <c r="E384" s="511">
        <f t="shared" si="23"/>
        <v>135849.66666666666</v>
      </c>
      <c r="F384" s="469">
        <f t="shared" si="18"/>
        <v>3792469.8611111077</v>
      </c>
      <c r="G384" s="935">
        <f t="shared" si="20"/>
        <v>714778.64870801556</v>
      </c>
      <c r="H384" s="938">
        <f t="shared" si="21"/>
        <v>714778.64870801556</v>
      </c>
      <c r="I384" s="509">
        <f t="shared" si="22"/>
        <v>0</v>
      </c>
      <c r="J384" s="509"/>
      <c r="K384" s="640"/>
      <c r="L384" s="514"/>
      <c r="M384" s="640"/>
      <c r="N384" s="514"/>
      <c r="O384" s="514"/>
    </row>
    <row r="385" spans="3:15">
      <c r="C385" s="505">
        <f>IF(D364="","-",+C384+1)</f>
        <v>2028</v>
      </c>
      <c r="D385" s="469">
        <f t="shared" si="19"/>
        <v>3792469.8611111077</v>
      </c>
      <c r="E385" s="511">
        <f t="shared" si="23"/>
        <v>135849.66666666666</v>
      </c>
      <c r="F385" s="469">
        <f t="shared" si="18"/>
        <v>3656620.1944444412</v>
      </c>
      <c r="G385" s="935">
        <f t="shared" si="20"/>
        <v>694405.78130480088</v>
      </c>
      <c r="H385" s="938">
        <f t="shared" si="21"/>
        <v>694405.78130480088</v>
      </c>
      <c r="I385" s="509">
        <f t="shared" si="22"/>
        <v>0</v>
      </c>
      <c r="J385" s="509"/>
      <c r="K385" s="640"/>
      <c r="L385" s="514"/>
      <c r="M385" s="640"/>
      <c r="N385" s="514"/>
      <c r="O385" s="514"/>
    </row>
    <row r="386" spans="3:15">
      <c r="C386" s="505">
        <f>IF(D364="","-",+C385+1)</f>
        <v>2029</v>
      </c>
      <c r="D386" s="469">
        <f t="shared" si="19"/>
        <v>3656620.1944444412</v>
      </c>
      <c r="E386" s="511">
        <f t="shared" si="23"/>
        <v>135849.66666666666</v>
      </c>
      <c r="F386" s="469">
        <f t="shared" si="18"/>
        <v>3520770.5277777747</v>
      </c>
      <c r="G386" s="935">
        <f t="shared" si="20"/>
        <v>674032.91390158632</v>
      </c>
      <c r="H386" s="938">
        <f t="shared" si="21"/>
        <v>674032.91390158632</v>
      </c>
      <c r="I386" s="509">
        <f t="shared" si="22"/>
        <v>0</v>
      </c>
      <c r="J386" s="509"/>
      <c r="K386" s="640"/>
      <c r="L386" s="514"/>
      <c r="M386" s="640"/>
      <c r="N386" s="514"/>
      <c r="O386" s="514"/>
    </row>
    <row r="387" spans="3:15">
      <c r="C387" s="505">
        <f>IF(D364="","-",+C386+1)</f>
        <v>2030</v>
      </c>
      <c r="D387" s="469">
        <f t="shared" si="19"/>
        <v>3520770.5277777747</v>
      </c>
      <c r="E387" s="511">
        <f t="shared" si="23"/>
        <v>135849.66666666666</v>
      </c>
      <c r="F387" s="469">
        <f t="shared" si="18"/>
        <v>3384920.8611111082</v>
      </c>
      <c r="G387" s="935">
        <f t="shared" si="20"/>
        <v>653660.04649837164</v>
      </c>
      <c r="H387" s="938">
        <f t="shared" si="21"/>
        <v>653660.04649837164</v>
      </c>
      <c r="I387" s="509">
        <f t="shared" si="22"/>
        <v>0</v>
      </c>
      <c r="J387" s="509"/>
      <c r="K387" s="640"/>
      <c r="L387" s="514"/>
      <c r="M387" s="640"/>
      <c r="N387" s="514"/>
      <c r="O387" s="514"/>
    </row>
    <row r="388" spans="3:15">
      <c r="C388" s="505">
        <f>IF(D364="","-",+C387+1)</f>
        <v>2031</v>
      </c>
      <c r="D388" s="469">
        <f t="shared" si="19"/>
        <v>3384920.8611111082</v>
      </c>
      <c r="E388" s="511">
        <f t="shared" si="23"/>
        <v>135849.66666666666</v>
      </c>
      <c r="F388" s="469">
        <f t="shared" si="18"/>
        <v>3249071.1944444417</v>
      </c>
      <c r="G388" s="935">
        <f t="shared" si="20"/>
        <v>633287.17909515707</v>
      </c>
      <c r="H388" s="938">
        <f t="shared" si="21"/>
        <v>633287.17909515707</v>
      </c>
      <c r="I388" s="509">
        <f t="shared" si="22"/>
        <v>0</v>
      </c>
      <c r="J388" s="509"/>
      <c r="K388" s="640"/>
      <c r="L388" s="514"/>
      <c r="M388" s="640"/>
      <c r="N388" s="514"/>
      <c r="O388" s="514"/>
    </row>
    <row r="389" spans="3:15">
      <c r="C389" s="505">
        <f>IF(D364="","-",+C388+1)</f>
        <v>2032</v>
      </c>
      <c r="D389" s="469">
        <f t="shared" si="19"/>
        <v>3249071.1944444417</v>
      </c>
      <c r="E389" s="511">
        <f t="shared" si="23"/>
        <v>135849.66666666666</v>
      </c>
      <c r="F389" s="469">
        <f t="shared" si="18"/>
        <v>3113221.5277777752</v>
      </c>
      <c r="G389" s="935">
        <f t="shared" si="20"/>
        <v>612914.31169194239</v>
      </c>
      <c r="H389" s="938">
        <f t="shared" si="21"/>
        <v>612914.31169194239</v>
      </c>
      <c r="I389" s="509">
        <f t="shared" si="22"/>
        <v>0</v>
      </c>
      <c r="J389" s="509"/>
      <c r="K389" s="640"/>
      <c r="L389" s="514"/>
      <c r="M389" s="640"/>
      <c r="N389" s="514"/>
      <c r="O389" s="514"/>
    </row>
    <row r="390" spans="3:15">
      <c r="C390" s="505">
        <f>IF(D364="","-",+C389+1)</f>
        <v>2033</v>
      </c>
      <c r="D390" s="469">
        <f t="shared" si="19"/>
        <v>3113221.5277777752</v>
      </c>
      <c r="E390" s="511">
        <f t="shared" si="23"/>
        <v>135849.66666666666</v>
      </c>
      <c r="F390" s="469">
        <f t="shared" si="18"/>
        <v>2977371.8611111087</v>
      </c>
      <c r="G390" s="935">
        <f t="shared" si="20"/>
        <v>592541.44428872783</v>
      </c>
      <c r="H390" s="938">
        <f t="shared" si="21"/>
        <v>592541.44428872783</v>
      </c>
      <c r="I390" s="509">
        <f t="shared" si="22"/>
        <v>0</v>
      </c>
      <c r="J390" s="509"/>
      <c r="K390" s="640"/>
      <c r="L390" s="514"/>
      <c r="M390" s="640"/>
      <c r="N390" s="514"/>
      <c r="O390" s="514"/>
    </row>
    <row r="391" spans="3:15">
      <c r="C391" s="505">
        <f>IF(D364="","-",+C390+1)</f>
        <v>2034</v>
      </c>
      <c r="D391" s="469">
        <f t="shared" si="19"/>
        <v>2977371.8611111087</v>
      </c>
      <c r="E391" s="511">
        <f t="shared" si="23"/>
        <v>135849.66666666666</v>
      </c>
      <c r="F391" s="469">
        <f t="shared" si="18"/>
        <v>2841522.1944444422</v>
      </c>
      <c r="G391" s="935">
        <f t="shared" si="20"/>
        <v>572168.57688551315</v>
      </c>
      <c r="H391" s="938">
        <f t="shared" si="21"/>
        <v>572168.57688551315</v>
      </c>
      <c r="I391" s="509">
        <f t="shared" si="22"/>
        <v>0</v>
      </c>
      <c r="J391" s="509"/>
      <c r="K391" s="640"/>
      <c r="L391" s="514"/>
      <c r="M391" s="640"/>
      <c r="N391" s="514"/>
      <c r="O391" s="514"/>
    </row>
    <row r="392" spans="3:15">
      <c r="C392" s="505">
        <f>IF(D364="","-",+C391+1)</f>
        <v>2035</v>
      </c>
      <c r="D392" s="469">
        <f t="shared" si="19"/>
        <v>2841522.1944444422</v>
      </c>
      <c r="E392" s="511">
        <f t="shared" si="23"/>
        <v>135849.66666666666</v>
      </c>
      <c r="F392" s="469">
        <f t="shared" si="18"/>
        <v>2705672.5277777757</v>
      </c>
      <c r="G392" s="935">
        <f t="shared" si="20"/>
        <v>551795.70948229858</v>
      </c>
      <c r="H392" s="938">
        <f t="shared" si="21"/>
        <v>551795.70948229858</v>
      </c>
      <c r="I392" s="509">
        <f t="shared" si="22"/>
        <v>0</v>
      </c>
      <c r="J392" s="509"/>
      <c r="K392" s="640"/>
      <c r="L392" s="514"/>
      <c r="M392" s="640"/>
      <c r="N392" s="514"/>
      <c r="O392" s="514"/>
    </row>
    <row r="393" spans="3:15">
      <c r="C393" s="505">
        <f>IF(D364="","-",+C392+1)</f>
        <v>2036</v>
      </c>
      <c r="D393" s="469">
        <f t="shared" si="19"/>
        <v>2705672.5277777757</v>
      </c>
      <c r="E393" s="511">
        <f t="shared" si="23"/>
        <v>135849.66666666666</v>
      </c>
      <c r="F393" s="469">
        <f t="shared" si="18"/>
        <v>2569822.8611111091</v>
      </c>
      <c r="G393" s="935">
        <f t="shared" si="20"/>
        <v>531422.8420790839</v>
      </c>
      <c r="H393" s="938">
        <f t="shared" si="21"/>
        <v>531422.8420790839</v>
      </c>
      <c r="I393" s="509">
        <f t="shared" si="22"/>
        <v>0</v>
      </c>
      <c r="J393" s="509"/>
      <c r="K393" s="640"/>
      <c r="L393" s="514"/>
      <c r="M393" s="640"/>
      <c r="N393" s="514"/>
      <c r="O393" s="514"/>
    </row>
    <row r="394" spans="3:15">
      <c r="C394" s="505">
        <f>IF(D364="","-",+C393+1)</f>
        <v>2037</v>
      </c>
      <c r="D394" s="469">
        <f t="shared" si="19"/>
        <v>2569822.8611111091</v>
      </c>
      <c r="E394" s="511">
        <f t="shared" si="23"/>
        <v>135849.66666666666</v>
      </c>
      <c r="F394" s="469">
        <f t="shared" si="18"/>
        <v>2433973.1944444426</v>
      </c>
      <c r="G394" s="935">
        <f t="shared" si="20"/>
        <v>511049.97467586934</v>
      </c>
      <c r="H394" s="938">
        <f t="shared" si="21"/>
        <v>511049.97467586934</v>
      </c>
      <c r="I394" s="509">
        <f t="shared" si="22"/>
        <v>0</v>
      </c>
      <c r="J394" s="509"/>
      <c r="K394" s="640"/>
      <c r="L394" s="514"/>
      <c r="M394" s="640"/>
      <c r="N394" s="514"/>
      <c r="O394" s="514"/>
    </row>
    <row r="395" spans="3:15">
      <c r="C395" s="505">
        <f>IF(D364="","-",+C394+1)</f>
        <v>2038</v>
      </c>
      <c r="D395" s="469">
        <f t="shared" si="19"/>
        <v>2433973.1944444426</v>
      </c>
      <c r="E395" s="511">
        <f t="shared" si="23"/>
        <v>135849.66666666666</v>
      </c>
      <c r="F395" s="469">
        <f t="shared" si="18"/>
        <v>2298123.5277777761</v>
      </c>
      <c r="G395" s="935">
        <f t="shared" si="20"/>
        <v>490677.10727265466</v>
      </c>
      <c r="H395" s="938">
        <f t="shared" si="21"/>
        <v>490677.10727265466</v>
      </c>
      <c r="I395" s="509">
        <f t="shared" si="22"/>
        <v>0</v>
      </c>
      <c r="J395" s="509"/>
      <c r="K395" s="640"/>
      <c r="L395" s="514"/>
      <c r="M395" s="640"/>
      <c r="N395" s="514"/>
      <c r="O395" s="514"/>
    </row>
    <row r="396" spans="3:15">
      <c r="C396" s="505">
        <f>IF(D364="","-",+C395+1)</f>
        <v>2039</v>
      </c>
      <c r="D396" s="469">
        <f t="shared" si="19"/>
        <v>2298123.5277777761</v>
      </c>
      <c r="E396" s="511">
        <f t="shared" si="23"/>
        <v>135849.66666666666</v>
      </c>
      <c r="F396" s="469">
        <f t="shared" si="18"/>
        <v>2162273.8611111096</v>
      </c>
      <c r="G396" s="935">
        <f t="shared" si="20"/>
        <v>470304.23986944009</v>
      </c>
      <c r="H396" s="938">
        <f t="shared" si="21"/>
        <v>470304.23986944009</v>
      </c>
      <c r="I396" s="509">
        <f t="shared" si="22"/>
        <v>0</v>
      </c>
      <c r="J396" s="509"/>
      <c r="K396" s="640"/>
      <c r="L396" s="514"/>
      <c r="M396" s="640"/>
      <c r="N396" s="514"/>
      <c r="O396" s="514"/>
    </row>
    <row r="397" spans="3:15">
      <c r="C397" s="505">
        <f>IF(D364="","-",+C396+1)</f>
        <v>2040</v>
      </c>
      <c r="D397" s="469">
        <f t="shared" si="19"/>
        <v>2162273.8611111096</v>
      </c>
      <c r="E397" s="511">
        <f t="shared" si="23"/>
        <v>135849.66666666666</v>
      </c>
      <c r="F397" s="469">
        <f t="shared" si="18"/>
        <v>2026424.1944444429</v>
      </c>
      <c r="G397" s="935">
        <f t="shared" si="20"/>
        <v>449931.37246622541</v>
      </c>
      <c r="H397" s="938">
        <f t="shared" si="21"/>
        <v>449931.37246622541</v>
      </c>
      <c r="I397" s="509">
        <f t="shared" si="22"/>
        <v>0</v>
      </c>
      <c r="J397" s="509"/>
      <c r="K397" s="640"/>
      <c r="L397" s="514"/>
      <c r="M397" s="640"/>
      <c r="N397" s="514"/>
      <c r="O397" s="514"/>
    </row>
    <row r="398" spans="3:15">
      <c r="C398" s="505">
        <f>IF(D364="","-",+C397+1)</f>
        <v>2041</v>
      </c>
      <c r="D398" s="469">
        <f t="shared" si="19"/>
        <v>2026424.1944444429</v>
      </c>
      <c r="E398" s="511">
        <f t="shared" si="23"/>
        <v>135849.66666666666</v>
      </c>
      <c r="F398" s="469">
        <f t="shared" si="18"/>
        <v>1890574.5277777761</v>
      </c>
      <c r="G398" s="936">
        <f t="shared" si="20"/>
        <v>429558.50506301085</v>
      </c>
      <c r="H398" s="938">
        <f t="shared" si="21"/>
        <v>429558.50506301085</v>
      </c>
      <c r="I398" s="509">
        <f t="shared" si="22"/>
        <v>0</v>
      </c>
      <c r="J398" s="509"/>
      <c r="K398" s="640"/>
      <c r="L398" s="514"/>
      <c r="M398" s="640"/>
      <c r="N398" s="514"/>
      <c r="O398" s="514"/>
    </row>
    <row r="399" spans="3:15">
      <c r="C399" s="505">
        <f>IF(D364="","-",+C398+1)</f>
        <v>2042</v>
      </c>
      <c r="D399" s="469">
        <f t="shared" si="19"/>
        <v>1890574.5277777761</v>
      </c>
      <c r="E399" s="511">
        <f t="shared" si="23"/>
        <v>135849.66666666666</v>
      </c>
      <c r="F399" s="469">
        <f t="shared" si="18"/>
        <v>1754724.8611111094</v>
      </c>
      <c r="G399" s="935">
        <f t="shared" si="20"/>
        <v>409185.63765979616</v>
      </c>
      <c r="H399" s="938">
        <f t="shared" si="21"/>
        <v>409185.63765979616</v>
      </c>
      <c r="I399" s="509">
        <f t="shared" si="22"/>
        <v>0</v>
      </c>
      <c r="J399" s="509"/>
      <c r="K399" s="640"/>
      <c r="L399" s="514"/>
      <c r="M399" s="640"/>
      <c r="N399" s="514"/>
      <c r="O399" s="514"/>
    </row>
    <row r="400" spans="3:15">
      <c r="C400" s="505">
        <f>IF(D364="","-",+C399+1)</f>
        <v>2043</v>
      </c>
      <c r="D400" s="469">
        <f t="shared" si="19"/>
        <v>1754724.8611111094</v>
      </c>
      <c r="E400" s="511">
        <f t="shared" si="23"/>
        <v>135849.66666666666</v>
      </c>
      <c r="F400" s="469">
        <f t="shared" si="18"/>
        <v>1618875.1944444426</v>
      </c>
      <c r="G400" s="935">
        <f t="shared" si="20"/>
        <v>388812.77025658154</v>
      </c>
      <c r="H400" s="938">
        <f t="shared" si="21"/>
        <v>388812.77025658154</v>
      </c>
      <c r="I400" s="509">
        <f t="shared" si="22"/>
        <v>0</v>
      </c>
      <c r="J400" s="509"/>
      <c r="K400" s="640"/>
      <c r="L400" s="514"/>
      <c r="M400" s="640"/>
      <c r="N400" s="514"/>
      <c r="O400" s="514"/>
    </row>
    <row r="401" spans="3:15">
      <c r="C401" s="505">
        <f>IF(D364="","-",+C400+1)</f>
        <v>2044</v>
      </c>
      <c r="D401" s="469">
        <f t="shared" si="19"/>
        <v>1618875.1944444426</v>
      </c>
      <c r="E401" s="511">
        <f t="shared" si="23"/>
        <v>135849.66666666666</v>
      </c>
      <c r="F401" s="469">
        <f t="shared" si="18"/>
        <v>1483025.5277777759</v>
      </c>
      <c r="G401" s="935">
        <f t="shared" si="20"/>
        <v>368439.9028533668</v>
      </c>
      <c r="H401" s="938">
        <f t="shared" si="21"/>
        <v>368439.9028533668</v>
      </c>
      <c r="I401" s="509">
        <f t="shared" si="22"/>
        <v>0</v>
      </c>
      <c r="J401" s="509"/>
      <c r="K401" s="640"/>
      <c r="L401" s="514"/>
      <c r="M401" s="640"/>
      <c r="N401" s="514"/>
      <c r="O401" s="514"/>
    </row>
    <row r="402" spans="3:15">
      <c r="C402" s="505">
        <f>IF(D364="","-",+C401+1)</f>
        <v>2045</v>
      </c>
      <c r="D402" s="469">
        <f t="shared" si="19"/>
        <v>1483025.5277777759</v>
      </c>
      <c r="E402" s="511">
        <f t="shared" si="23"/>
        <v>135849.66666666666</v>
      </c>
      <c r="F402" s="469">
        <f t="shared" si="18"/>
        <v>1347175.8611111091</v>
      </c>
      <c r="G402" s="935">
        <f t="shared" si="20"/>
        <v>348067.03545015224</v>
      </c>
      <c r="H402" s="938">
        <f t="shared" si="21"/>
        <v>348067.03545015224</v>
      </c>
      <c r="I402" s="509">
        <f t="shared" si="22"/>
        <v>0</v>
      </c>
      <c r="J402" s="509"/>
      <c r="K402" s="640"/>
      <c r="L402" s="514"/>
      <c r="M402" s="640"/>
      <c r="N402" s="514"/>
      <c r="O402" s="514"/>
    </row>
    <row r="403" spans="3:15">
      <c r="C403" s="505">
        <f>IF(D364="","-",+C402+1)</f>
        <v>2046</v>
      </c>
      <c r="D403" s="469">
        <f t="shared" si="19"/>
        <v>1347175.8611111091</v>
      </c>
      <c r="E403" s="511">
        <f t="shared" si="23"/>
        <v>135849.66666666666</v>
      </c>
      <c r="F403" s="469">
        <f t="shared" si="18"/>
        <v>1211326.1944444424</v>
      </c>
      <c r="G403" s="935">
        <f t="shared" si="20"/>
        <v>327694.16804693756</v>
      </c>
      <c r="H403" s="938">
        <f t="shared" si="21"/>
        <v>327694.16804693756</v>
      </c>
      <c r="I403" s="509">
        <f t="shared" si="22"/>
        <v>0</v>
      </c>
      <c r="J403" s="509"/>
      <c r="K403" s="640"/>
      <c r="L403" s="514"/>
      <c r="M403" s="640"/>
      <c r="N403" s="514"/>
      <c r="O403" s="514"/>
    </row>
    <row r="404" spans="3:15">
      <c r="C404" s="505">
        <f>IF(D364="","-",+C403+1)</f>
        <v>2047</v>
      </c>
      <c r="D404" s="469">
        <f t="shared" si="19"/>
        <v>1211326.1944444424</v>
      </c>
      <c r="E404" s="511">
        <f t="shared" si="23"/>
        <v>135849.66666666666</v>
      </c>
      <c r="F404" s="469">
        <f t="shared" si="18"/>
        <v>1075476.5277777757</v>
      </c>
      <c r="G404" s="935">
        <f t="shared" si="20"/>
        <v>307321.30064372293</v>
      </c>
      <c r="H404" s="938">
        <f t="shared" si="21"/>
        <v>307321.30064372293</v>
      </c>
      <c r="I404" s="509">
        <f t="shared" si="22"/>
        <v>0</v>
      </c>
      <c r="J404" s="509"/>
      <c r="K404" s="640"/>
      <c r="L404" s="514"/>
      <c r="M404" s="640"/>
      <c r="N404" s="514"/>
      <c r="O404" s="514"/>
    </row>
    <row r="405" spans="3:15">
      <c r="C405" s="505">
        <f>IF(D364="","-",+C404+1)</f>
        <v>2048</v>
      </c>
      <c r="D405" s="469">
        <f t="shared" si="19"/>
        <v>1075476.5277777757</v>
      </c>
      <c r="E405" s="511">
        <f t="shared" si="23"/>
        <v>135849.66666666666</v>
      </c>
      <c r="F405" s="469">
        <f t="shared" si="18"/>
        <v>939626.86111110903</v>
      </c>
      <c r="G405" s="935">
        <f t="shared" si="20"/>
        <v>286948.43324050831</v>
      </c>
      <c r="H405" s="938">
        <f t="shared" si="21"/>
        <v>286948.43324050831</v>
      </c>
      <c r="I405" s="509">
        <f t="shared" si="22"/>
        <v>0</v>
      </c>
      <c r="J405" s="509"/>
      <c r="K405" s="640"/>
      <c r="L405" s="514"/>
      <c r="M405" s="640"/>
      <c r="N405" s="514"/>
      <c r="O405" s="514"/>
    </row>
    <row r="406" spans="3:15">
      <c r="C406" s="505">
        <f>IF(D364="","-",+C405+1)</f>
        <v>2049</v>
      </c>
      <c r="D406" s="469">
        <f t="shared" si="19"/>
        <v>939626.86111110903</v>
      </c>
      <c r="E406" s="511">
        <f t="shared" si="23"/>
        <v>135849.66666666666</v>
      </c>
      <c r="F406" s="469">
        <f t="shared" si="18"/>
        <v>803777.1944444424</v>
      </c>
      <c r="G406" s="935">
        <f t="shared" si="20"/>
        <v>266575.56583729363</v>
      </c>
      <c r="H406" s="938">
        <f t="shared" si="21"/>
        <v>266575.56583729363</v>
      </c>
      <c r="I406" s="509">
        <f t="shared" si="22"/>
        <v>0</v>
      </c>
      <c r="J406" s="509"/>
      <c r="K406" s="640"/>
      <c r="L406" s="514"/>
      <c r="M406" s="640"/>
      <c r="N406" s="514"/>
      <c r="O406" s="514"/>
    </row>
    <row r="407" spans="3:15">
      <c r="C407" s="505">
        <f>IF(D364="","-",+C406+1)</f>
        <v>2050</v>
      </c>
      <c r="D407" s="469">
        <f t="shared" si="19"/>
        <v>803777.1944444424</v>
      </c>
      <c r="E407" s="511">
        <f t="shared" si="23"/>
        <v>135849.66666666666</v>
      </c>
      <c r="F407" s="469">
        <f t="shared" si="18"/>
        <v>667927.52777777577</v>
      </c>
      <c r="G407" s="935">
        <f t="shared" si="20"/>
        <v>246202.69843407901</v>
      </c>
      <c r="H407" s="938">
        <f t="shared" si="21"/>
        <v>246202.69843407901</v>
      </c>
      <c r="I407" s="509">
        <f t="shared" si="22"/>
        <v>0</v>
      </c>
      <c r="J407" s="509"/>
      <c r="K407" s="640"/>
      <c r="L407" s="514"/>
      <c r="M407" s="640"/>
      <c r="N407" s="514"/>
      <c r="O407" s="514"/>
    </row>
    <row r="408" spans="3:15">
      <c r="C408" s="505">
        <f>IF(D364="","-",+C407+1)</f>
        <v>2051</v>
      </c>
      <c r="D408" s="469">
        <f t="shared" si="19"/>
        <v>667927.52777777577</v>
      </c>
      <c r="E408" s="511">
        <f t="shared" si="23"/>
        <v>135849.66666666666</v>
      </c>
      <c r="F408" s="469">
        <f t="shared" si="18"/>
        <v>532077.86111110914</v>
      </c>
      <c r="G408" s="935">
        <f t="shared" si="20"/>
        <v>225829.83103086433</v>
      </c>
      <c r="H408" s="938">
        <f t="shared" si="21"/>
        <v>225829.83103086433</v>
      </c>
      <c r="I408" s="509">
        <f t="shared" si="22"/>
        <v>0</v>
      </c>
      <c r="J408" s="509"/>
      <c r="K408" s="640"/>
      <c r="L408" s="514"/>
      <c r="M408" s="640"/>
      <c r="N408" s="514"/>
      <c r="O408" s="514"/>
    </row>
    <row r="409" spans="3:15">
      <c r="C409" s="505">
        <f>IF(D364="","-",+C408+1)</f>
        <v>2052</v>
      </c>
      <c r="D409" s="469">
        <f t="shared" si="19"/>
        <v>532077.86111110914</v>
      </c>
      <c r="E409" s="511">
        <f t="shared" si="23"/>
        <v>135849.66666666666</v>
      </c>
      <c r="F409" s="469">
        <f t="shared" si="18"/>
        <v>396228.19444444252</v>
      </c>
      <c r="G409" s="935">
        <f t="shared" si="20"/>
        <v>205456.9636276497</v>
      </c>
      <c r="H409" s="938">
        <f t="shared" si="21"/>
        <v>205456.9636276497</v>
      </c>
      <c r="I409" s="509">
        <f t="shared" si="22"/>
        <v>0</v>
      </c>
      <c r="J409" s="509"/>
      <c r="K409" s="640"/>
      <c r="L409" s="514"/>
      <c r="M409" s="640"/>
      <c r="N409" s="514"/>
      <c r="O409" s="514"/>
    </row>
    <row r="410" spans="3:15">
      <c r="C410" s="505">
        <f>IF(D364="","-",+C409+1)</f>
        <v>2053</v>
      </c>
      <c r="D410" s="469">
        <f t="shared" si="19"/>
        <v>396228.19444444252</v>
      </c>
      <c r="E410" s="511">
        <f t="shared" si="23"/>
        <v>135849.66666666666</v>
      </c>
      <c r="F410" s="469">
        <f t="shared" si="18"/>
        <v>260378.52777777586</v>
      </c>
      <c r="G410" s="935">
        <f t="shared" si="20"/>
        <v>185084.09622443508</v>
      </c>
      <c r="H410" s="938">
        <f t="shared" si="21"/>
        <v>185084.09622443508</v>
      </c>
      <c r="I410" s="509">
        <f t="shared" si="22"/>
        <v>0</v>
      </c>
      <c r="J410" s="509"/>
      <c r="K410" s="640"/>
      <c r="L410" s="514"/>
      <c r="M410" s="640"/>
      <c r="N410" s="514"/>
      <c r="O410" s="514"/>
    </row>
    <row r="411" spans="3:15">
      <c r="C411" s="505">
        <f>IF(D364="","-",+C410+1)</f>
        <v>2054</v>
      </c>
      <c r="D411" s="469">
        <f t="shared" si="19"/>
        <v>260378.52777777586</v>
      </c>
      <c r="E411" s="511">
        <f t="shared" si="23"/>
        <v>135849.66666666666</v>
      </c>
      <c r="F411" s="469">
        <f t="shared" si="18"/>
        <v>124528.8611111092</v>
      </c>
      <c r="G411" s="935">
        <f t="shared" si="20"/>
        <v>164711.22882122046</v>
      </c>
      <c r="H411" s="938">
        <f t="shared" si="21"/>
        <v>164711.22882122046</v>
      </c>
      <c r="I411" s="509">
        <f t="shared" si="22"/>
        <v>0</v>
      </c>
      <c r="J411" s="509"/>
      <c r="K411" s="640"/>
      <c r="L411" s="514"/>
      <c r="M411" s="640"/>
      <c r="N411" s="514"/>
      <c r="O411" s="514"/>
    </row>
    <row r="412" spans="3:15">
      <c r="C412" s="505">
        <f>IF(D364="","-",+C411+1)</f>
        <v>2055</v>
      </c>
      <c r="D412" s="469">
        <f t="shared" si="19"/>
        <v>124528.8611111092</v>
      </c>
      <c r="E412" s="511">
        <f t="shared" si="23"/>
        <v>124528.8611111092</v>
      </c>
      <c r="F412" s="469">
        <f t="shared" si="18"/>
        <v>0</v>
      </c>
      <c r="G412" s="935">
        <f t="shared" si="20"/>
        <v>133866.42533758245</v>
      </c>
      <c r="H412" s="938">
        <f t="shared" si="21"/>
        <v>133866.42533758245</v>
      </c>
      <c r="I412" s="509">
        <f t="shared" si="22"/>
        <v>0</v>
      </c>
      <c r="J412" s="509"/>
      <c r="K412" s="640"/>
      <c r="L412" s="514"/>
      <c r="M412" s="640"/>
      <c r="N412" s="514"/>
      <c r="O412" s="514"/>
    </row>
    <row r="413" spans="3:15">
      <c r="C413" s="505">
        <f>IF(D364="","-",+C412+1)</f>
        <v>2056</v>
      </c>
      <c r="D413" s="469">
        <f t="shared" si="19"/>
        <v>0</v>
      </c>
      <c r="E413" s="511">
        <f t="shared" si="23"/>
        <v>0</v>
      </c>
      <c r="F413" s="469">
        <f t="shared" si="18"/>
        <v>0</v>
      </c>
      <c r="G413" s="935">
        <f t="shared" si="20"/>
        <v>0</v>
      </c>
      <c r="H413" s="938">
        <f t="shared" si="21"/>
        <v>0</v>
      </c>
      <c r="I413" s="509">
        <f t="shared" si="22"/>
        <v>0</v>
      </c>
      <c r="J413" s="509"/>
      <c r="K413" s="640"/>
      <c r="L413" s="514"/>
      <c r="M413" s="640"/>
      <c r="N413" s="514"/>
      <c r="O413" s="514"/>
    </row>
    <row r="414" spans="3:15">
      <c r="C414" s="505">
        <f>IF(D364="","-",+C413+1)</f>
        <v>2057</v>
      </c>
      <c r="D414" s="469">
        <f t="shared" si="19"/>
        <v>0</v>
      </c>
      <c r="E414" s="511">
        <f t="shared" si="23"/>
        <v>0</v>
      </c>
      <c r="F414" s="469">
        <f t="shared" si="18"/>
        <v>0</v>
      </c>
      <c r="G414" s="935">
        <f t="shared" si="20"/>
        <v>0</v>
      </c>
      <c r="H414" s="938">
        <f t="shared" si="21"/>
        <v>0</v>
      </c>
      <c r="I414" s="509">
        <f t="shared" si="22"/>
        <v>0</v>
      </c>
      <c r="J414" s="509"/>
      <c r="K414" s="640"/>
      <c r="L414" s="514"/>
      <c r="M414" s="640"/>
      <c r="N414" s="514"/>
      <c r="O414" s="514"/>
    </row>
    <row r="415" spans="3:15">
      <c r="C415" s="505">
        <f>IF(D364="","-",+C414+1)</f>
        <v>2058</v>
      </c>
      <c r="D415" s="469">
        <f t="shared" si="19"/>
        <v>0</v>
      </c>
      <c r="E415" s="511">
        <f t="shared" si="23"/>
        <v>0</v>
      </c>
      <c r="F415" s="469">
        <f t="shared" si="18"/>
        <v>0</v>
      </c>
      <c r="G415" s="935">
        <f t="shared" si="20"/>
        <v>0</v>
      </c>
      <c r="H415" s="938">
        <f t="shared" si="21"/>
        <v>0</v>
      </c>
      <c r="I415" s="509">
        <f t="shared" si="22"/>
        <v>0</v>
      </c>
      <c r="J415" s="509"/>
      <c r="K415" s="640"/>
      <c r="L415" s="514"/>
      <c r="M415" s="640"/>
      <c r="N415" s="514"/>
      <c r="O415" s="514"/>
    </row>
    <row r="416" spans="3:15">
      <c r="C416" s="505">
        <f>IF(D364="","-",+C415+1)</f>
        <v>2059</v>
      </c>
      <c r="D416" s="469">
        <f t="shared" si="19"/>
        <v>0</v>
      </c>
      <c r="E416" s="511">
        <f t="shared" si="23"/>
        <v>0</v>
      </c>
      <c r="F416" s="469">
        <f t="shared" si="18"/>
        <v>0</v>
      </c>
      <c r="G416" s="935">
        <f t="shared" si="20"/>
        <v>0</v>
      </c>
      <c r="H416" s="938">
        <f t="shared" si="21"/>
        <v>0</v>
      </c>
      <c r="I416" s="509">
        <f t="shared" si="22"/>
        <v>0</v>
      </c>
      <c r="J416" s="509"/>
      <c r="K416" s="640"/>
      <c r="L416" s="514"/>
      <c r="M416" s="640"/>
      <c r="N416" s="514"/>
      <c r="O416" s="514"/>
    </row>
    <row r="417" spans="3:15">
      <c r="C417" s="505">
        <f>IF(D364="","-",+C416+1)</f>
        <v>2060</v>
      </c>
      <c r="D417" s="469">
        <f t="shared" si="19"/>
        <v>0</v>
      </c>
      <c r="E417" s="511">
        <f t="shared" si="23"/>
        <v>0</v>
      </c>
      <c r="F417" s="469">
        <f t="shared" si="18"/>
        <v>0</v>
      </c>
      <c r="G417" s="935">
        <f t="shared" si="20"/>
        <v>0</v>
      </c>
      <c r="H417" s="938">
        <f t="shared" si="21"/>
        <v>0</v>
      </c>
      <c r="I417" s="509">
        <f t="shared" si="22"/>
        <v>0</v>
      </c>
      <c r="J417" s="509"/>
      <c r="K417" s="640"/>
      <c r="L417" s="514"/>
      <c r="M417" s="640"/>
      <c r="N417" s="514"/>
      <c r="O417" s="514"/>
    </row>
    <row r="418" spans="3:15">
      <c r="C418" s="505">
        <f>IF(D364="","-",+C417+1)</f>
        <v>2061</v>
      </c>
      <c r="D418" s="469">
        <f t="shared" si="19"/>
        <v>0</v>
      </c>
      <c r="E418" s="511">
        <f t="shared" si="23"/>
        <v>0</v>
      </c>
      <c r="F418" s="469">
        <f t="shared" si="18"/>
        <v>0</v>
      </c>
      <c r="G418" s="935">
        <f t="shared" si="20"/>
        <v>0</v>
      </c>
      <c r="H418" s="938">
        <f t="shared" si="21"/>
        <v>0</v>
      </c>
      <c r="I418" s="509">
        <f t="shared" si="22"/>
        <v>0</v>
      </c>
      <c r="J418" s="509"/>
      <c r="K418" s="640"/>
      <c r="L418" s="514"/>
      <c r="M418" s="640"/>
      <c r="N418" s="514"/>
      <c r="O418" s="514"/>
    </row>
    <row r="419" spans="3:15">
      <c r="C419" s="505">
        <f>IF(D364="","-",+C418+1)</f>
        <v>2062</v>
      </c>
      <c r="D419" s="469">
        <f t="shared" si="19"/>
        <v>0</v>
      </c>
      <c r="E419" s="511">
        <f t="shared" si="23"/>
        <v>0</v>
      </c>
      <c r="F419" s="469">
        <f t="shared" si="18"/>
        <v>0</v>
      </c>
      <c r="G419" s="935">
        <f t="shared" si="20"/>
        <v>0</v>
      </c>
      <c r="H419" s="938">
        <f t="shared" si="21"/>
        <v>0</v>
      </c>
      <c r="I419" s="509">
        <f t="shared" si="22"/>
        <v>0</v>
      </c>
      <c r="J419" s="509"/>
      <c r="K419" s="640"/>
      <c r="L419" s="514"/>
      <c r="M419" s="640"/>
      <c r="N419" s="514"/>
      <c r="O419" s="514"/>
    </row>
    <row r="420" spans="3:15">
      <c r="C420" s="505">
        <f>IF(D364="","-",+C419+1)</f>
        <v>2063</v>
      </c>
      <c r="D420" s="469">
        <f t="shared" si="19"/>
        <v>0</v>
      </c>
      <c r="E420" s="511">
        <f t="shared" si="23"/>
        <v>0</v>
      </c>
      <c r="F420" s="469">
        <f t="shared" si="18"/>
        <v>0</v>
      </c>
      <c r="G420" s="935">
        <f t="shared" si="20"/>
        <v>0</v>
      </c>
      <c r="H420" s="938">
        <f t="shared" si="21"/>
        <v>0</v>
      </c>
      <c r="I420" s="509">
        <f t="shared" si="22"/>
        <v>0</v>
      </c>
      <c r="J420" s="509"/>
      <c r="K420" s="640"/>
      <c r="L420" s="514"/>
      <c r="M420" s="640"/>
      <c r="N420" s="514"/>
      <c r="O420" s="514"/>
    </row>
    <row r="421" spans="3:15">
      <c r="C421" s="505">
        <f>IF(D364="","-",+C420+1)</f>
        <v>2064</v>
      </c>
      <c r="D421" s="469">
        <f t="shared" si="19"/>
        <v>0</v>
      </c>
      <c r="E421" s="511">
        <f t="shared" si="23"/>
        <v>0</v>
      </c>
      <c r="F421" s="469">
        <f t="shared" si="18"/>
        <v>0</v>
      </c>
      <c r="G421" s="935">
        <f t="shared" si="20"/>
        <v>0</v>
      </c>
      <c r="H421" s="938">
        <f t="shared" si="21"/>
        <v>0</v>
      </c>
      <c r="I421" s="509">
        <f t="shared" si="22"/>
        <v>0</v>
      </c>
      <c r="J421" s="509"/>
      <c r="K421" s="640"/>
      <c r="L421" s="514"/>
      <c r="M421" s="640"/>
      <c r="N421" s="514"/>
      <c r="O421" s="514"/>
    </row>
    <row r="422" spans="3:15">
      <c r="C422" s="505">
        <f>IF(D364="","-",+C421+1)</f>
        <v>2065</v>
      </c>
      <c r="D422" s="469">
        <f t="shared" si="19"/>
        <v>0</v>
      </c>
      <c r="E422" s="511">
        <f t="shared" si="23"/>
        <v>0</v>
      </c>
      <c r="F422" s="469">
        <f t="shared" si="18"/>
        <v>0</v>
      </c>
      <c r="G422" s="935">
        <f t="shared" si="20"/>
        <v>0</v>
      </c>
      <c r="H422" s="938">
        <f t="shared" si="21"/>
        <v>0</v>
      </c>
      <c r="I422" s="509">
        <f t="shared" si="22"/>
        <v>0</v>
      </c>
      <c r="J422" s="509"/>
      <c r="K422" s="640"/>
      <c r="L422" s="514"/>
      <c r="M422" s="640"/>
      <c r="N422" s="514"/>
      <c r="O422" s="514"/>
    </row>
    <row r="423" spans="3:15">
      <c r="C423" s="505">
        <f>IF(D364="","-",+C422+1)</f>
        <v>2066</v>
      </c>
      <c r="D423" s="469">
        <f t="shared" si="19"/>
        <v>0</v>
      </c>
      <c r="E423" s="511">
        <f t="shared" si="23"/>
        <v>0</v>
      </c>
      <c r="F423" s="469">
        <f t="shared" si="18"/>
        <v>0</v>
      </c>
      <c r="G423" s="935">
        <f t="shared" si="20"/>
        <v>0</v>
      </c>
      <c r="H423" s="938">
        <f t="shared" si="21"/>
        <v>0</v>
      </c>
      <c r="I423" s="509">
        <f t="shared" si="22"/>
        <v>0</v>
      </c>
      <c r="J423" s="509"/>
      <c r="K423" s="640"/>
      <c r="L423" s="514"/>
      <c r="M423" s="640"/>
      <c r="N423" s="514"/>
      <c r="O423" s="514"/>
    </row>
    <row r="424" spans="3:15">
      <c r="C424" s="505">
        <f>IF(D364="","-",+C423+1)</f>
        <v>2067</v>
      </c>
      <c r="D424" s="469">
        <f t="shared" si="19"/>
        <v>0</v>
      </c>
      <c r="E424" s="511">
        <f t="shared" si="23"/>
        <v>0</v>
      </c>
      <c r="F424" s="469">
        <f t="shared" si="18"/>
        <v>0</v>
      </c>
      <c r="G424" s="935">
        <f t="shared" si="20"/>
        <v>0</v>
      </c>
      <c r="H424" s="938">
        <f t="shared" si="21"/>
        <v>0</v>
      </c>
      <c r="I424" s="509">
        <f t="shared" si="22"/>
        <v>0</v>
      </c>
      <c r="J424" s="509"/>
      <c r="K424" s="640"/>
      <c r="L424" s="514"/>
      <c r="M424" s="640"/>
      <c r="N424" s="514"/>
      <c r="O424" s="514"/>
    </row>
    <row r="425" spans="3:15">
      <c r="C425" s="505">
        <f>IF(D364="","-",+C424+1)</f>
        <v>2068</v>
      </c>
      <c r="D425" s="469">
        <f t="shared" si="19"/>
        <v>0</v>
      </c>
      <c r="E425" s="511">
        <f t="shared" si="23"/>
        <v>0</v>
      </c>
      <c r="F425" s="469">
        <f t="shared" si="18"/>
        <v>0</v>
      </c>
      <c r="G425" s="935">
        <f t="shared" si="20"/>
        <v>0</v>
      </c>
      <c r="H425" s="938">
        <f t="shared" si="21"/>
        <v>0</v>
      </c>
      <c r="I425" s="509">
        <f t="shared" si="22"/>
        <v>0</v>
      </c>
      <c r="J425" s="509"/>
      <c r="K425" s="640"/>
      <c r="L425" s="514"/>
      <c r="M425" s="640"/>
      <c r="N425" s="514"/>
      <c r="O425" s="514"/>
    </row>
    <row r="426" spans="3:15">
      <c r="C426" s="505">
        <f>IF(D364="","-",+C425+1)</f>
        <v>2069</v>
      </c>
      <c r="D426" s="469">
        <f t="shared" si="19"/>
        <v>0</v>
      </c>
      <c r="E426" s="511">
        <f t="shared" si="23"/>
        <v>0</v>
      </c>
      <c r="F426" s="469">
        <f t="shared" si="18"/>
        <v>0</v>
      </c>
      <c r="G426" s="935">
        <f t="shared" si="20"/>
        <v>0</v>
      </c>
      <c r="H426" s="938">
        <f t="shared" si="21"/>
        <v>0</v>
      </c>
      <c r="I426" s="509">
        <f t="shared" si="22"/>
        <v>0</v>
      </c>
      <c r="J426" s="509"/>
      <c r="K426" s="640"/>
      <c r="L426" s="514"/>
      <c r="M426" s="640"/>
      <c r="N426" s="514"/>
      <c r="O426" s="514"/>
    </row>
    <row r="427" spans="3:15">
      <c r="C427" s="505">
        <f>IF(D364="","-",+C426+1)</f>
        <v>2070</v>
      </c>
      <c r="D427" s="469">
        <f t="shared" si="19"/>
        <v>0</v>
      </c>
      <c r="E427" s="511">
        <f t="shared" si="23"/>
        <v>0</v>
      </c>
      <c r="F427" s="469">
        <f t="shared" si="18"/>
        <v>0</v>
      </c>
      <c r="G427" s="935">
        <f t="shared" si="20"/>
        <v>0</v>
      </c>
      <c r="H427" s="938">
        <f t="shared" si="21"/>
        <v>0</v>
      </c>
      <c r="I427" s="509">
        <f t="shared" si="22"/>
        <v>0</v>
      </c>
      <c r="J427" s="509"/>
      <c r="K427" s="640"/>
      <c r="L427" s="514"/>
      <c r="M427" s="640"/>
      <c r="N427" s="514"/>
      <c r="O427" s="514"/>
    </row>
    <row r="428" spans="3:15">
      <c r="C428" s="505">
        <f>IF(D364="","-",+C427+1)</f>
        <v>2071</v>
      </c>
      <c r="D428" s="469">
        <f t="shared" si="19"/>
        <v>0</v>
      </c>
      <c r="E428" s="511">
        <f t="shared" si="23"/>
        <v>0</v>
      </c>
      <c r="F428" s="469">
        <f t="shared" si="18"/>
        <v>0</v>
      </c>
      <c r="G428" s="935">
        <f t="shared" si="20"/>
        <v>0</v>
      </c>
      <c r="H428" s="938">
        <f t="shared" si="21"/>
        <v>0</v>
      </c>
      <c r="I428" s="509">
        <f t="shared" si="22"/>
        <v>0</v>
      </c>
      <c r="J428" s="509"/>
      <c r="K428" s="640"/>
      <c r="L428" s="514"/>
      <c r="M428" s="640"/>
      <c r="N428" s="514"/>
      <c r="O428" s="514"/>
    </row>
    <row r="429" spans="3:15" ht="13.5" thickBot="1">
      <c r="C429" s="515">
        <f>IF(D364="","-",+C428+1)</f>
        <v>2072</v>
      </c>
      <c r="D429" s="516">
        <f t="shared" si="19"/>
        <v>0</v>
      </c>
      <c r="E429" s="517">
        <f t="shared" si="23"/>
        <v>0</v>
      </c>
      <c r="F429" s="516">
        <f t="shared" si="18"/>
        <v>0</v>
      </c>
      <c r="G429" s="946">
        <f t="shared" si="20"/>
        <v>0</v>
      </c>
      <c r="H429" s="946">
        <f t="shared" si="21"/>
        <v>0</v>
      </c>
      <c r="I429" s="519">
        <f t="shared" si="22"/>
        <v>0</v>
      </c>
      <c r="J429" s="509"/>
      <c r="K429" s="641"/>
      <c r="L429" s="521"/>
      <c r="M429" s="641"/>
      <c r="N429" s="521"/>
      <c r="O429" s="521"/>
    </row>
    <row r="430" spans="3:15">
      <c r="C430" s="469" t="s">
        <v>288</v>
      </c>
      <c r="D430" s="915"/>
      <c r="E430" s="469"/>
      <c r="F430" s="915"/>
      <c r="G430" s="915">
        <f>SUM(G370:G429)</f>
        <v>24458910.444659062</v>
      </c>
      <c r="H430" s="915">
        <f>SUM(H370:H429)</f>
        <v>24458910.444659062</v>
      </c>
      <c r="I430" s="915">
        <f>SUM(I370:I429)</f>
        <v>0</v>
      </c>
      <c r="J430" s="915"/>
      <c r="K430" s="915"/>
      <c r="L430" s="915"/>
      <c r="M430" s="915"/>
      <c r="N430" s="915"/>
      <c r="O430" s="4"/>
    </row>
    <row r="431" spans="3:15">
      <c r="D431" s="79"/>
      <c r="E431" s="4"/>
      <c r="F431" s="4"/>
      <c r="G431" s="4"/>
      <c r="H431" s="914"/>
      <c r="I431" s="914"/>
      <c r="J431" s="915"/>
      <c r="K431" s="914"/>
      <c r="L431" s="914"/>
      <c r="M431" s="914"/>
      <c r="N431" s="914"/>
      <c r="O431" s="4"/>
    </row>
    <row r="432" spans="3:15">
      <c r="C432" s="4" t="s">
        <v>595</v>
      </c>
      <c r="D432" s="79"/>
      <c r="E432" s="4"/>
      <c r="F432" s="4"/>
      <c r="G432" s="4"/>
      <c r="H432" s="914"/>
      <c r="I432" s="914"/>
      <c r="J432" s="915"/>
      <c r="K432" s="914"/>
      <c r="L432" s="914"/>
      <c r="M432" s="914"/>
      <c r="N432" s="914"/>
      <c r="O432" s="4"/>
    </row>
    <row r="433" spans="1:16">
      <c r="C433" s="4"/>
      <c r="D433" s="79"/>
      <c r="E433" s="4"/>
      <c r="F433" s="4"/>
      <c r="G433" s="4"/>
      <c r="H433" s="914"/>
      <c r="I433" s="914"/>
      <c r="J433" s="915"/>
      <c r="K433" s="914"/>
      <c r="L433" s="914"/>
      <c r="M433" s="914"/>
      <c r="N433" s="914"/>
      <c r="O433" s="4"/>
    </row>
    <row r="434" spans="1:16">
      <c r="C434" s="479" t="s">
        <v>924</v>
      </c>
      <c r="D434" s="469"/>
      <c r="E434" s="469"/>
      <c r="F434" s="469"/>
      <c r="G434" s="915"/>
      <c r="H434" s="915"/>
      <c r="I434" s="471"/>
      <c r="J434" s="471"/>
      <c r="K434" s="471"/>
      <c r="L434" s="471"/>
      <c r="M434" s="471"/>
      <c r="N434" s="471"/>
      <c r="O434" s="4"/>
    </row>
    <row r="435" spans="1:16">
      <c r="C435" s="479" t="s">
        <v>476</v>
      </c>
      <c r="D435" s="469"/>
      <c r="E435" s="469"/>
      <c r="F435" s="469"/>
      <c r="G435" s="915"/>
      <c r="H435" s="915"/>
      <c r="I435" s="471"/>
      <c r="J435" s="471"/>
      <c r="K435" s="471"/>
      <c r="L435" s="471"/>
      <c r="M435" s="471"/>
      <c r="N435" s="471"/>
      <c r="O435" s="4"/>
    </row>
    <row r="436" spans="1:16">
      <c r="C436" s="470" t="s">
        <v>289</v>
      </c>
      <c r="D436" s="469"/>
      <c r="E436" s="469"/>
      <c r="F436" s="469"/>
      <c r="G436" s="915"/>
      <c r="H436" s="915"/>
      <c r="I436" s="471"/>
      <c r="J436" s="471"/>
      <c r="K436" s="471"/>
      <c r="L436" s="471"/>
      <c r="M436" s="471"/>
      <c r="N436" s="471"/>
      <c r="O436" s="4"/>
    </row>
    <row r="437" spans="1:16">
      <c r="C437" s="470"/>
      <c r="D437" s="469"/>
      <c r="E437" s="469"/>
      <c r="F437" s="469"/>
      <c r="G437" s="915"/>
      <c r="H437" s="915"/>
      <c r="I437" s="471"/>
      <c r="J437" s="471"/>
      <c r="K437" s="471"/>
      <c r="L437" s="471"/>
      <c r="M437" s="471"/>
      <c r="N437" s="471"/>
      <c r="O437" s="4"/>
    </row>
    <row r="438" spans="1:16">
      <c r="C438" s="1275" t="s">
        <v>460</v>
      </c>
      <c r="D438" s="1275"/>
      <c r="E438" s="1275"/>
      <c r="F438" s="1275"/>
      <c r="G438" s="1275"/>
      <c r="H438" s="1275"/>
      <c r="I438" s="1275"/>
      <c r="J438" s="1275"/>
      <c r="K438" s="1275"/>
      <c r="L438" s="1275"/>
      <c r="M438" s="1275"/>
      <c r="N438" s="1275"/>
      <c r="O438" s="1275"/>
    </row>
    <row r="439" spans="1:16">
      <c r="C439" s="1275"/>
      <c r="D439" s="1275"/>
      <c r="E439" s="1275"/>
      <c r="F439" s="1275"/>
      <c r="G439" s="1275"/>
      <c r="H439" s="1275"/>
      <c r="I439" s="1275"/>
      <c r="J439" s="1275"/>
      <c r="K439" s="1275"/>
      <c r="L439" s="1275"/>
      <c r="M439" s="1275"/>
      <c r="N439" s="1275"/>
      <c r="O439" s="1275"/>
    </row>
    <row r="440" spans="1:16" ht="20.25">
      <c r="A440" s="411" t="s">
        <v>921</v>
      </c>
      <c r="B440" s="4"/>
      <c r="C440" s="4"/>
      <c r="D440" s="79"/>
      <c r="E440" s="4"/>
      <c r="F440" s="81"/>
      <c r="G440" s="4"/>
      <c r="H440" s="914"/>
      <c r="K440" s="11"/>
      <c r="L440" s="11"/>
      <c r="M440" s="11"/>
      <c r="N440" s="11" t="str">
        <f>"Page "&amp;SUM(P$6:P440)&amp;" of "</f>
        <v xml:space="preserve">Page 5 of </v>
      </c>
      <c r="O440" s="412">
        <f>COUNT(P$6:P$59579)</f>
        <v>22</v>
      </c>
      <c r="P440" s="4">
        <v>1</v>
      </c>
    </row>
    <row r="441" spans="1:16">
      <c r="B441" s="4"/>
      <c r="C441" s="4"/>
      <c r="D441" s="79"/>
      <c r="E441" s="4"/>
      <c r="F441" s="4"/>
      <c r="G441" s="4"/>
      <c r="H441" s="914"/>
      <c r="I441" s="4"/>
      <c r="J441" s="4"/>
      <c r="K441" s="4"/>
      <c r="L441" s="4"/>
      <c r="M441" s="4"/>
      <c r="N441" s="4"/>
      <c r="O441" s="4"/>
    </row>
    <row r="442" spans="1:16" ht="18">
      <c r="B442" s="413" t="s">
        <v>174</v>
      </c>
      <c r="C442" s="472" t="s">
        <v>290</v>
      </c>
      <c r="D442" s="79"/>
      <c r="E442" s="4"/>
      <c r="F442" s="4"/>
      <c r="G442" s="4"/>
      <c r="H442" s="914"/>
      <c r="I442" s="914"/>
      <c r="J442" s="915"/>
      <c r="K442" s="914"/>
      <c r="L442" s="914"/>
      <c r="M442" s="914"/>
      <c r="N442" s="914"/>
      <c r="O442" s="4"/>
    </row>
    <row r="443" spans="1:16" ht="18.75">
      <c r="B443" s="413"/>
      <c r="C443" s="13"/>
      <c r="D443" s="79"/>
      <c r="E443" s="4"/>
      <c r="F443" s="4"/>
      <c r="G443" s="4"/>
      <c r="H443" s="914"/>
      <c r="I443" s="914"/>
      <c r="J443" s="915"/>
      <c r="K443" s="914"/>
      <c r="L443" s="914"/>
      <c r="M443" s="914"/>
      <c r="N443" s="914"/>
      <c r="O443" s="4"/>
    </row>
    <row r="444" spans="1:16" ht="18.75">
      <c r="B444" s="413"/>
      <c r="C444" s="13" t="s">
        <v>291</v>
      </c>
      <c r="D444" s="79"/>
      <c r="E444" s="4"/>
      <c r="F444" s="4"/>
      <c r="G444" s="4"/>
      <c r="H444" s="914"/>
      <c r="I444" s="914"/>
      <c r="J444" s="915"/>
      <c r="K444" s="914"/>
      <c r="L444" s="914"/>
      <c r="M444" s="914"/>
      <c r="N444" s="914"/>
      <c r="O444" s="4"/>
    </row>
    <row r="445" spans="1:16" ht="15.75" thickBot="1">
      <c r="C445" s="247"/>
      <c r="D445" s="79"/>
      <c r="E445" s="4"/>
      <c r="F445" s="4"/>
      <c r="G445" s="4"/>
      <c r="H445" s="914"/>
      <c r="I445" s="914"/>
      <c r="J445" s="915"/>
      <c r="K445" s="914"/>
      <c r="L445" s="914"/>
      <c r="M445" s="914"/>
      <c r="N445" s="914"/>
      <c r="O445" s="4"/>
    </row>
    <row r="446" spans="1:16" ht="15.75">
      <c r="C446" s="414" t="s">
        <v>292</v>
      </c>
      <c r="D446" s="79"/>
      <c r="E446" s="4"/>
      <c r="F446" s="4"/>
      <c r="G446" s="948"/>
      <c r="H446" s="4" t="s">
        <v>271</v>
      </c>
      <c r="I446" s="4"/>
      <c r="J446" s="4"/>
      <c r="K446" s="473" t="s">
        <v>296</v>
      </c>
      <c r="L446" s="474"/>
      <c r="M446" s="475"/>
      <c r="N446" s="917">
        <f>VLOOKUP(I452,C459:O518,5)</f>
        <v>329444.23546764988</v>
      </c>
      <c r="O446" s="4"/>
    </row>
    <row r="447" spans="1:16" ht="15.75">
      <c r="C447" s="414"/>
      <c r="D447" s="79"/>
      <c r="E447" s="4"/>
      <c r="F447" s="4"/>
      <c r="G447" s="4"/>
      <c r="H447" s="918"/>
      <c r="I447" s="918"/>
      <c r="J447" s="919"/>
      <c r="K447" s="478" t="s">
        <v>297</v>
      </c>
      <c r="L447" s="920"/>
      <c r="M447" s="4"/>
      <c r="N447" s="921">
        <f>VLOOKUP(I452,C459:O518,6)</f>
        <v>329444.23546764988</v>
      </c>
      <c r="O447" s="4"/>
    </row>
    <row r="448" spans="1:16" ht="13.5" thickBot="1">
      <c r="C448" s="479" t="s">
        <v>293</v>
      </c>
      <c r="D448" s="1274" t="s">
        <v>928</v>
      </c>
      <c r="E448" s="1274"/>
      <c r="F448" s="1274"/>
      <c r="G448" s="1274"/>
      <c r="H448" s="1274"/>
      <c r="I448" s="1274"/>
      <c r="J448" s="915"/>
      <c r="K448" s="922" t="s">
        <v>450</v>
      </c>
      <c r="L448" s="923"/>
      <c r="M448" s="923"/>
      <c r="N448" s="924">
        <f>+N447-N446</f>
        <v>0</v>
      </c>
      <c r="O448" s="4"/>
    </row>
    <row r="449" spans="1:15">
      <c r="C449" s="481"/>
      <c r="D449" s="482"/>
      <c r="E449" s="469"/>
      <c r="F449" s="469"/>
      <c r="G449" s="483"/>
      <c r="H449" s="914"/>
      <c r="I449" s="914"/>
      <c r="J449" s="915"/>
      <c r="K449" s="914"/>
      <c r="L449" s="914"/>
      <c r="M449" s="914"/>
      <c r="N449" s="914"/>
      <c r="O449" s="4"/>
    </row>
    <row r="450" spans="1:15" ht="13.5" thickBot="1">
      <c r="C450" s="481"/>
      <c r="D450" s="925"/>
      <c r="E450" s="483"/>
      <c r="F450" s="483"/>
      <c r="G450" s="483"/>
      <c r="H450" s="483"/>
      <c r="I450" s="483"/>
      <c r="J450" s="483"/>
      <c r="K450" s="483"/>
      <c r="L450" s="483"/>
      <c r="M450" s="483"/>
      <c r="N450" s="483"/>
      <c r="O450" s="4"/>
    </row>
    <row r="451" spans="1:15" ht="13.5" thickBot="1">
      <c r="C451" s="484" t="s">
        <v>294</v>
      </c>
      <c r="D451" s="485"/>
      <c r="E451" s="485"/>
      <c r="F451" s="485"/>
      <c r="G451" s="485"/>
      <c r="H451" s="485"/>
      <c r="I451" s="486"/>
      <c r="K451" s="4"/>
      <c r="L451" s="4"/>
      <c r="M451" s="4"/>
      <c r="N451" s="4"/>
      <c r="O451" s="4"/>
    </row>
    <row r="452" spans="1:15" ht="15">
      <c r="C452" s="487" t="s">
        <v>272</v>
      </c>
      <c r="D452" s="926">
        <v>2088951</v>
      </c>
      <c r="E452" s="4" t="s">
        <v>273</v>
      </c>
      <c r="G452" s="79"/>
      <c r="H452" s="79"/>
      <c r="I452" s="488">
        <v>2018</v>
      </c>
      <c r="J452" s="135"/>
      <c r="K452" s="1277" t="s">
        <v>459</v>
      </c>
      <c r="L452" s="1277"/>
      <c r="M452" s="1277"/>
      <c r="N452" s="1277"/>
      <c r="O452" s="1277"/>
    </row>
    <row r="453" spans="1:15">
      <c r="C453" s="487" t="s">
        <v>275</v>
      </c>
      <c r="D453" s="644">
        <v>2013</v>
      </c>
      <c r="E453" s="487" t="s">
        <v>276</v>
      </c>
      <c r="F453" s="79"/>
      <c r="H453"/>
      <c r="I453" s="927">
        <f>IF(G446="",0,$F$15)</f>
        <v>0</v>
      </c>
      <c r="J453" s="489"/>
      <c r="K453" s="915" t="s">
        <v>459</v>
      </c>
    </row>
    <row r="454" spans="1:15">
      <c r="C454" s="487" t="s">
        <v>277</v>
      </c>
      <c r="D454" s="952">
        <v>12</v>
      </c>
      <c r="E454" s="487" t="s">
        <v>278</v>
      </c>
      <c r="F454" s="79"/>
      <c r="H454"/>
      <c r="I454" s="490">
        <f>$G$70</f>
        <v>0.14996626714737105</v>
      </c>
      <c r="J454" s="81"/>
      <c r="K454" t="str">
        <f>"          INPUT PROJECTED ARR (WITH &amp; WITHOUT INCENTIVES) FROM EACH PRIOR YEAR"</f>
        <v xml:space="preserve">          INPUT PROJECTED ARR (WITH &amp; WITHOUT INCENTIVES) FROM EACH PRIOR YEAR</v>
      </c>
    </row>
    <row r="455" spans="1:15">
      <c r="C455" s="487" t="s">
        <v>279</v>
      </c>
      <c r="D455" s="491">
        <f>G$79</f>
        <v>42</v>
      </c>
      <c r="E455" s="487" t="s">
        <v>280</v>
      </c>
      <c r="F455" s="79"/>
      <c r="H455"/>
      <c r="I455" s="490">
        <f>IF(G446="",I454,$G$67)</f>
        <v>0.14996626714737105</v>
      </c>
      <c r="J455" s="81"/>
      <c r="K455" t="s">
        <v>357</v>
      </c>
    </row>
    <row r="456" spans="1:15" ht="13.5" thickBot="1">
      <c r="C456" s="487" t="s">
        <v>281</v>
      </c>
      <c r="D456" s="637" t="s">
        <v>923</v>
      </c>
      <c r="E456" s="492" t="s">
        <v>282</v>
      </c>
      <c r="F456" s="493"/>
      <c r="G456" s="494"/>
      <c r="H456" s="494"/>
      <c r="I456" s="924">
        <f>IF(D452=0,0,D452/D455)</f>
        <v>49736.928571428572</v>
      </c>
      <c r="J456" s="915"/>
      <c r="K456" s="915" t="s">
        <v>363</v>
      </c>
      <c r="L456" s="915"/>
      <c r="M456" s="915"/>
      <c r="N456" s="915"/>
      <c r="O456" s="4"/>
    </row>
    <row r="457" spans="1:15" ht="51">
      <c r="A457" s="12"/>
      <c r="B457" s="12"/>
      <c r="C457" s="495" t="s">
        <v>272</v>
      </c>
      <c r="D457" s="928" t="s">
        <v>283</v>
      </c>
      <c r="E457" s="929" t="s">
        <v>284</v>
      </c>
      <c r="F457" s="928" t="s">
        <v>285</v>
      </c>
      <c r="G457" s="929" t="s">
        <v>356</v>
      </c>
      <c r="H457" s="930" t="s">
        <v>356</v>
      </c>
      <c r="I457" s="495" t="s">
        <v>295</v>
      </c>
      <c r="J457" s="499"/>
      <c r="K457" s="929" t="s">
        <v>365</v>
      </c>
      <c r="L457" s="931"/>
      <c r="M457" s="929" t="s">
        <v>365</v>
      </c>
      <c r="N457" s="931"/>
      <c r="O457" s="931"/>
    </row>
    <row r="458" spans="1:15" ht="13.5" thickBot="1">
      <c r="C458" s="500" t="s">
        <v>177</v>
      </c>
      <c r="D458" s="501" t="s">
        <v>178</v>
      </c>
      <c r="E458" s="500" t="s">
        <v>37</v>
      </c>
      <c r="F458" s="501" t="s">
        <v>178</v>
      </c>
      <c r="G458" s="932" t="s">
        <v>298</v>
      </c>
      <c r="H458" s="933" t="s">
        <v>300</v>
      </c>
      <c r="I458" s="500" t="s">
        <v>389</v>
      </c>
      <c r="J458" s="504"/>
      <c r="K458" s="932" t="s">
        <v>287</v>
      </c>
      <c r="L458" s="934"/>
      <c r="M458" s="932" t="s">
        <v>300</v>
      </c>
      <c r="N458" s="934"/>
      <c r="O458" s="934"/>
    </row>
    <row r="459" spans="1:15">
      <c r="C459" s="505">
        <f>IF(D453= "","-",D453)</f>
        <v>2013</v>
      </c>
      <c r="D459" s="469">
        <f>+D452</f>
        <v>2088951</v>
      </c>
      <c r="E459" s="935">
        <f>+I456/12*(12-D454)</f>
        <v>0</v>
      </c>
      <c r="F459" s="469">
        <f t="shared" ref="F459:F518" si="24">+D459-E459</f>
        <v>2088951</v>
      </c>
      <c r="G459" s="936">
        <f>+$I$454*((D459+F459)/2)+E459</f>
        <v>313272.18372376787</v>
      </c>
      <c r="H459" s="937">
        <f>$I$455*((D459+F459)/2)+E459</f>
        <v>313272.18372376787</v>
      </c>
      <c r="I459" s="509">
        <f>+H459-G459</f>
        <v>0</v>
      </c>
      <c r="J459" s="509"/>
      <c r="K459" s="949">
        <v>424916</v>
      </c>
      <c r="L459" s="510"/>
      <c r="M459" s="949">
        <v>424916</v>
      </c>
      <c r="N459" s="510"/>
      <c r="O459" s="510"/>
    </row>
    <row r="460" spans="1:15">
      <c r="C460" s="505">
        <f>IF(D453="","-",+C459+1)</f>
        <v>2014</v>
      </c>
      <c r="D460" s="469">
        <f t="shared" ref="D460:D518" si="25">F459</f>
        <v>2088951</v>
      </c>
      <c r="E460" s="511">
        <f>IF(D460&gt;$I$456,$I$456,D460)</f>
        <v>49736.928571428572</v>
      </c>
      <c r="F460" s="469">
        <f t="shared" si="24"/>
        <v>2039214.0714285714</v>
      </c>
      <c r="G460" s="935">
        <f t="shared" ref="G460:G518" si="26">+$I$454*((D460+F460)/2)+E460</f>
        <v>359279.6815365802</v>
      </c>
      <c r="H460" s="938">
        <f t="shared" ref="H460:H518" si="27">$I$455*((D460+F460)/2)+E460</f>
        <v>359279.6815365802</v>
      </c>
      <c r="I460" s="509">
        <f t="shared" ref="I460:I518" si="28">+H460-G460</f>
        <v>0</v>
      </c>
      <c r="J460" s="509"/>
      <c r="K460" s="640">
        <v>372954</v>
      </c>
      <c r="L460" s="514"/>
      <c r="M460" s="640">
        <v>372954</v>
      </c>
      <c r="N460" s="514"/>
      <c r="O460" s="514"/>
    </row>
    <row r="461" spans="1:15">
      <c r="C461" s="505">
        <f>IF(D453="","-",+C460+1)</f>
        <v>2015</v>
      </c>
      <c r="D461" s="469">
        <f t="shared" si="25"/>
        <v>2039214.0714285714</v>
      </c>
      <c r="E461" s="511">
        <f t="shared" ref="E461:E518" si="29">IF(D461&gt;$I$456,$I$456,D461)</f>
        <v>49736.928571428572</v>
      </c>
      <c r="F461" s="469">
        <f t="shared" si="24"/>
        <v>1989477.1428571427</v>
      </c>
      <c r="G461" s="935">
        <f t="shared" si="26"/>
        <v>351820.82001934759</v>
      </c>
      <c r="H461" s="938">
        <f t="shared" si="27"/>
        <v>351820.82001934759</v>
      </c>
      <c r="I461" s="509">
        <f t="shared" si="28"/>
        <v>0</v>
      </c>
      <c r="J461" s="509"/>
      <c r="K461" s="640">
        <v>375622</v>
      </c>
      <c r="L461" s="514"/>
      <c r="M461" s="640">
        <v>375622</v>
      </c>
      <c r="N461" s="514"/>
      <c r="O461" s="514"/>
    </row>
    <row r="462" spans="1:15">
      <c r="C462" s="505">
        <f>IF(D453="","-",+C461+1)</f>
        <v>2016</v>
      </c>
      <c r="D462" s="469">
        <f t="shared" si="25"/>
        <v>1989477.1428571427</v>
      </c>
      <c r="E462" s="511">
        <f t="shared" si="29"/>
        <v>49736.928571428572</v>
      </c>
      <c r="F462" s="469">
        <f t="shared" si="24"/>
        <v>1939740.2142857141</v>
      </c>
      <c r="G462" s="935">
        <f t="shared" si="26"/>
        <v>344361.95850211504</v>
      </c>
      <c r="H462" s="938">
        <f t="shared" si="27"/>
        <v>344361.95850211504</v>
      </c>
      <c r="I462" s="509">
        <f t="shared" si="28"/>
        <v>0</v>
      </c>
      <c r="J462" s="509"/>
      <c r="K462" s="640">
        <v>363235</v>
      </c>
      <c r="L462" s="514"/>
      <c r="M462" s="640">
        <v>363235</v>
      </c>
      <c r="N462" s="514"/>
      <c r="O462" s="514"/>
    </row>
    <row r="463" spans="1:15">
      <c r="C463" s="505">
        <f>IF(D453="","-",+C462+1)</f>
        <v>2017</v>
      </c>
      <c r="D463" s="469">
        <f t="shared" si="25"/>
        <v>1939740.2142857141</v>
      </c>
      <c r="E463" s="511">
        <f t="shared" si="29"/>
        <v>49736.928571428572</v>
      </c>
      <c r="F463" s="469">
        <f t="shared" si="24"/>
        <v>1890003.2857142854</v>
      </c>
      <c r="G463" s="935">
        <f t="shared" si="26"/>
        <v>336903.09698488243</v>
      </c>
      <c r="H463" s="938">
        <f t="shared" si="27"/>
        <v>336903.09698488243</v>
      </c>
      <c r="I463" s="509">
        <f t="shared" si="28"/>
        <v>0</v>
      </c>
      <c r="J463" s="509"/>
      <c r="K463" s="640">
        <v>367158</v>
      </c>
      <c r="L463" s="514"/>
      <c r="M463" s="640">
        <v>367158</v>
      </c>
      <c r="N463" s="514"/>
      <c r="O463" s="514"/>
    </row>
    <row r="464" spans="1:15">
      <c r="C464" s="940">
        <f>IF(D453="","-",+C463+1)</f>
        <v>2018</v>
      </c>
      <c r="D464" s="941">
        <f t="shared" si="25"/>
        <v>1890003.2857142854</v>
      </c>
      <c r="E464" s="942">
        <f t="shared" si="29"/>
        <v>49736.928571428572</v>
      </c>
      <c r="F464" s="941">
        <f t="shared" si="24"/>
        <v>1840266.3571428568</v>
      </c>
      <c r="G464" s="943">
        <f t="shared" si="26"/>
        <v>329444.23546764988</v>
      </c>
      <c r="H464" s="944">
        <f t="shared" si="27"/>
        <v>329444.23546764988</v>
      </c>
      <c r="I464" s="945">
        <f t="shared" si="28"/>
        <v>0</v>
      </c>
      <c r="J464" s="509"/>
      <c r="K464" s="640"/>
      <c r="L464" s="514"/>
      <c r="M464" s="640"/>
      <c r="N464" s="514"/>
      <c r="O464" s="514"/>
    </row>
    <row r="465" spans="3:15">
      <c r="C465" s="505">
        <f>IF(D453="","-",+C464+1)</f>
        <v>2019</v>
      </c>
      <c r="D465" s="469">
        <f t="shared" si="25"/>
        <v>1840266.3571428568</v>
      </c>
      <c r="E465" s="511">
        <f t="shared" si="29"/>
        <v>49736.928571428572</v>
      </c>
      <c r="F465" s="469">
        <f t="shared" si="24"/>
        <v>1790529.4285714282</v>
      </c>
      <c r="G465" s="935">
        <f t="shared" si="26"/>
        <v>321985.37395041727</v>
      </c>
      <c r="H465" s="938">
        <f t="shared" si="27"/>
        <v>321985.37395041727</v>
      </c>
      <c r="I465" s="509">
        <f t="shared" si="28"/>
        <v>0</v>
      </c>
      <c r="J465" s="509"/>
      <c r="K465" s="640"/>
      <c r="L465" s="514"/>
      <c r="M465" s="640"/>
      <c r="N465" s="514"/>
      <c r="O465" s="514"/>
    </row>
    <row r="466" spans="3:15">
      <c r="C466" s="505">
        <f>IF(D453="","-",+C465+1)</f>
        <v>2020</v>
      </c>
      <c r="D466" s="469">
        <f t="shared" si="25"/>
        <v>1790529.4285714282</v>
      </c>
      <c r="E466" s="511">
        <f t="shared" si="29"/>
        <v>49736.928571428572</v>
      </c>
      <c r="F466" s="469">
        <f t="shared" si="24"/>
        <v>1740792.4999999995</v>
      </c>
      <c r="G466" s="935">
        <f t="shared" si="26"/>
        <v>314526.51243318472</v>
      </c>
      <c r="H466" s="938">
        <f t="shared" si="27"/>
        <v>314526.51243318472</v>
      </c>
      <c r="I466" s="509">
        <f t="shared" si="28"/>
        <v>0</v>
      </c>
      <c r="J466" s="509"/>
      <c r="K466" s="640"/>
      <c r="L466" s="514"/>
      <c r="M466" s="640"/>
      <c r="N466" s="514"/>
      <c r="O466" s="514"/>
    </row>
    <row r="467" spans="3:15">
      <c r="C467" s="505">
        <f>IF(D453="","-",+C466+1)</f>
        <v>2021</v>
      </c>
      <c r="D467" s="469">
        <f t="shared" si="25"/>
        <v>1740792.4999999995</v>
      </c>
      <c r="E467" s="511">
        <f t="shared" si="29"/>
        <v>49736.928571428572</v>
      </c>
      <c r="F467" s="469">
        <f t="shared" si="24"/>
        <v>1691055.5714285709</v>
      </c>
      <c r="G467" s="935">
        <f t="shared" si="26"/>
        <v>307067.65091595211</v>
      </c>
      <c r="H467" s="938">
        <f t="shared" si="27"/>
        <v>307067.65091595211</v>
      </c>
      <c r="I467" s="509">
        <f t="shared" si="28"/>
        <v>0</v>
      </c>
      <c r="J467" s="509"/>
      <c r="K467" s="640"/>
      <c r="L467" s="514"/>
      <c r="M467" s="640"/>
      <c r="N467" s="514"/>
      <c r="O467" s="514"/>
    </row>
    <row r="468" spans="3:15">
      <c r="C468" s="505">
        <f>IF(D453="","-",+C467+1)</f>
        <v>2022</v>
      </c>
      <c r="D468" s="469">
        <f t="shared" si="25"/>
        <v>1691055.5714285709</v>
      </c>
      <c r="E468" s="511">
        <f t="shared" si="29"/>
        <v>49736.928571428572</v>
      </c>
      <c r="F468" s="469">
        <f t="shared" si="24"/>
        <v>1641318.6428571423</v>
      </c>
      <c r="G468" s="935">
        <f t="shared" si="26"/>
        <v>299608.78939871956</v>
      </c>
      <c r="H468" s="938">
        <f t="shared" si="27"/>
        <v>299608.78939871956</v>
      </c>
      <c r="I468" s="509">
        <f t="shared" si="28"/>
        <v>0</v>
      </c>
      <c r="J468" s="509"/>
      <c r="K468" s="640"/>
      <c r="L468" s="514"/>
      <c r="M468" s="640"/>
      <c r="N468" s="514"/>
      <c r="O468" s="514"/>
    </row>
    <row r="469" spans="3:15">
      <c r="C469" s="505">
        <f>IF(D453="","-",+C468+1)</f>
        <v>2023</v>
      </c>
      <c r="D469" s="469">
        <f t="shared" si="25"/>
        <v>1641318.6428571423</v>
      </c>
      <c r="E469" s="511">
        <f t="shared" si="29"/>
        <v>49736.928571428572</v>
      </c>
      <c r="F469" s="469">
        <f t="shared" si="24"/>
        <v>1591581.7142857136</v>
      </c>
      <c r="G469" s="935">
        <f t="shared" si="26"/>
        <v>292149.92788148695</v>
      </c>
      <c r="H469" s="938">
        <f t="shared" si="27"/>
        <v>292149.92788148695</v>
      </c>
      <c r="I469" s="509">
        <f t="shared" si="28"/>
        <v>0</v>
      </c>
      <c r="J469" s="509"/>
      <c r="K469" s="640"/>
      <c r="L469" s="514"/>
      <c r="M469" s="640"/>
      <c r="N469" s="514"/>
      <c r="O469" s="514"/>
    </row>
    <row r="470" spans="3:15">
      <c r="C470" s="505">
        <f>IF(D453="","-",+C469+1)</f>
        <v>2024</v>
      </c>
      <c r="D470" s="469">
        <f t="shared" si="25"/>
        <v>1591581.7142857136</v>
      </c>
      <c r="E470" s="511">
        <f t="shared" si="29"/>
        <v>49736.928571428572</v>
      </c>
      <c r="F470" s="469">
        <f t="shared" si="24"/>
        <v>1541844.785714285</v>
      </c>
      <c r="G470" s="935">
        <f t="shared" si="26"/>
        <v>284691.0663642544</v>
      </c>
      <c r="H470" s="938">
        <f t="shared" si="27"/>
        <v>284691.0663642544</v>
      </c>
      <c r="I470" s="509">
        <f t="shared" si="28"/>
        <v>0</v>
      </c>
      <c r="J470" s="509"/>
      <c r="K470" s="640"/>
      <c r="L470" s="514"/>
      <c r="M470" s="640"/>
      <c r="N470" s="514"/>
      <c r="O470" s="514"/>
    </row>
    <row r="471" spans="3:15">
      <c r="C471" s="505">
        <f>IF(D453="","-",+C470+1)</f>
        <v>2025</v>
      </c>
      <c r="D471" s="469">
        <f t="shared" si="25"/>
        <v>1541844.785714285</v>
      </c>
      <c r="E471" s="511">
        <f t="shared" si="29"/>
        <v>49736.928571428572</v>
      </c>
      <c r="F471" s="469">
        <f t="shared" si="24"/>
        <v>1492107.8571428563</v>
      </c>
      <c r="G471" s="935">
        <f t="shared" si="26"/>
        <v>277232.20484702179</v>
      </c>
      <c r="H471" s="938">
        <f t="shared" si="27"/>
        <v>277232.20484702179</v>
      </c>
      <c r="I471" s="509">
        <f t="shared" si="28"/>
        <v>0</v>
      </c>
      <c r="J471" s="509"/>
      <c r="K471" s="640"/>
      <c r="L471" s="514"/>
      <c r="M471" s="640"/>
      <c r="N471" s="514"/>
      <c r="O471" s="514"/>
    </row>
    <row r="472" spans="3:15">
      <c r="C472" s="505">
        <f>IF(D453="","-",+C471+1)</f>
        <v>2026</v>
      </c>
      <c r="D472" s="469">
        <f t="shared" si="25"/>
        <v>1492107.8571428563</v>
      </c>
      <c r="E472" s="511">
        <f t="shared" si="29"/>
        <v>49736.928571428572</v>
      </c>
      <c r="F472" s="469">
        <f t="shared" si="24"/>
        <v>1442370.9285714277</v>
      </c>
      <c r="G472" s="935">
        <f t="shared" si="26"/>
        <v>269773.34332978923</v>
      </c>
      <c r="H472" s="938">
        <f t="shared" si="27"/>
        <v>269773.34332978923</v>
      </c>
      <c r="I472" s="509">
        <f t="shared" si="28"/>
        <v>0</v>
      </c>
      <c r="J472" s="509"/>
      <c r="K472" s="640"/>
      <c r="L472" s="514"/>
      <c r="M472" s="640"/>
      <c r="N472" s="514"/>
      <c r="O472" s="514"/>
    </row>
    <row r="473" spans="3:15">
      <c r="C473" s="505">
        <f>IF(D453="","-",+C472+1)</f>
        <v>2027</v>
      </c>
      <c r="D473" s="469">
        <f t="shared" si="25"/>
        <v>1442370.9285714277</v>
      </c>
      <c r="E473" s="511">
        <f t="shared" si="29"/>
        <v>49736.928571428572</v>
      </c>
      <c r="F473" s="469">
        <f t="shared" si="24"/>
        <v>1392633.9999999991</v>
      </c>
      <c r="G473" s="935">
        <f t="shared" si="26"/>
        <v>262314.48181255662</v>
      </c>
      <c r="H473" s="938">
        <f t="shared" si="27"/>
        <v>262314.48181255662</v>
      </c>
      <c r="I473" s="509">
        <f t="shared" si="28"/>
        <v>0</v>
      </c>
      <c r="J473" s="509"/>
      <c r="K473" s="640"/>
      <c r="L473" s="514"/>
      <c r="M473" s="640"/>
      <c r="N473" s="514"/>
      <c r="O473" s="514"/>
    </row>
    <row r="474" spans="3:15">
      <c r="C474" s="505">
        <f>IF(D453="","-",+C473+1)</f>
        <v>2028</v>
      </c>
      <c r="D474" s="469">
        <f t="shared" si="25"/>
        <v>1392633.9999999991</v>
      </c>
      <c r="E474" s="511">
        <f t="shared" si="29"/>
        <v>49736.928571428572</v>
      </c>
      <c r="F474" s="469">
        <f t="shared" si="24"/>
        <v>1342897.0714285704</v>
      </c>
      <c r="G474" s="935">
        <f t="shared" si="26"/>
        <v>254855.62029532407</v>
      </c>
      <c r="H474" s="938">
        <f t="shared" si="27"/>
        <v>254855.62029532407</v>
      </c>
      <c r="I474" s="509">
        <f t="shared" si="28"/>
        <v>0</v>
      </c>
      <c r="J474" s="509"/>
      <c r="K474" s="640"/>
      <c r="L474" s="514"/>
      <c r="M474" s="640"/>
      <c r="N474" s="514"/>
      <c r="O474" s="514"/>
    </row>
    <row r="475" spans="3:15">
      <c r="C475" s="505">
        <f>IF(D453="","-",+C474+1)</f>
        <v>2029</v>
      </c>
      <c r="D475" s="469">
        <f t="shared" si="25"/>
        <v>1342897.0714285704</v>
      </c>
      <c r="E475" s="511">
        <f t="shared" si="29"/>
        <v>49736.928571428572</v>
      </c>
      <c r="F475" s="469">
        <f t="shared" si="24"/>
        <v>1293160.1428571418</v>
      </c>
      <c r="G475" s="935">
        <f t="shared" si="26"/>
        <v>247396.75877809149</v>
      </c>
      <c r="H475" s="938">
        <f t="shared" si="27"/>
        <v>247396.75877809149</v>
      </c>
      <c r="I475" s="509">
        <f t="shared" si="28"/>
        <v>0</v>
      </c>
      <c r="J475" s="509"/>
      <c r="K475" s="640"/>
      <c r="L475" s="514"/>
      <c r="M475" s="640"/>
      <c r="N475" s="514"/>
      <c r="O475" s="514"/>
    </row>
    <row r="476" spans="3:15">
      <c r="C476" s="505">
        <f>IF(D453="","-",+C475+1)</f>
        <v>2030</v>
      </c>
      <c r="D476" s="469">
        <f t="shared" si="25"/>
        <v>1293160.1428571418</v>
      </c>
      <c r="E476" s="511">
        <f t="shared" si="29"/>
        <v>49736.928571428572</v>
      </c>
      <c r="F476" s="469">
        <f t="shared" si="24"/>
        <v>1243423.2142857132</v>
      </c>
      <c r="G476" s="935">
        <f t="shared" si="26"/>
        <v>239937.89726085891</v>
      </c>
      <c r="H476" s="938">
        <f t="shared" si="27"/>
        <v>239937.89726085891</v>
      </c>
      <c r="I476" s="509">
        <f t="shared" si="28"/>
        <v>0</v>
      </c>
      <c r="J476" s="509"/>
      <c r="K476" s="640"/>
      <c r="L476" s="514"/>
      <c r="M476" s="640"/>
      <c r="N476" s="514"/>
      <c r="O476" s="514"/>
    </row>
    <row r="477" spans="3:15">
      <c r="C477" s="505">
        <f>IF(D453="","-",+C476+1)</f>
        <v>2031</v>
      </c>
      <c r="D477" s="469">
        <f t="shared" si="25"/>
        <v>1243423.2142857132</v>
      </c>
      <c r="E477" s="511">
        <f t="shared" si="29"/>
        <v>49736.928571428572</v>
      </c>
      <c r="F477" s="469">
        <f t="shared" si="24"/>
        <v>1193686.2857142845</v>
      </c>
      <c r="G477" s="935">
        <f t="shared" si="26"/>
        <v>232479.03574362633</v>
      </c>
      <c r="H477" s="938">
        <f t="shared" si="27"/>
        <v>232479.03574362633</v>
      </c>
      <c r="I477" s="509">
        <f t="shared" si="28"/>
        <v>0</v>
      </c>
      <c r="J477" s="509"/>
      <c r="K477" s="640"/>
      <c r="L477" s="514"/>
      <c r="M477" s="640"/>
      <c r="N477" s="514"/>
      <c r="O477" s="514"/>
    </row>
    <row r="478" spans="3:15">
      <c r="C478" s="505">
        <f>IF(D453="","-",+C477+1)</f>
        <v>2032</v>
      </c>
      <c r="D478" s="469">
        <f t="shared" si="25"/>
        <v>1193686.2857142845</v>
      </c>
      <c r="E478" s="511">
        <f t="shared" si="29"/>
        <v>49736.928571428572</v>
      </c>
      <c r="F478" s="469">
        <f t="shared" si="24"/>
        <v>1143949.3571428559</v>
      </c>
      <c r="G478" s="935">
        <f t="shared" si="26"/>
        <v>225020.17422639378</v>
      </c>
      <c r="H478" s="938">
        <f t="shared" si="27"/>
        <v>225020.17422639378</v>
      </c>
      <c r="I478" s="509">
        <f t="shared" si="28"/>
        <v>0</v>
      </c>
      <c r="J478" s="509"/>
      <c r="K478" s="640"/>
      <c r="L478" s="514"/>
      <c r="M478" s="640"/>
      <c r="N478" s="514"/>
      <c r="O478" s="514"/>
    </row>
    <row r="479" spans="3:15">
      <c r="C479" s="505">
        <f>IF(D453="","-",+C478+1)</f>
        <v>2033</v>
      </c>
      <c r="D479" s="469">
        <f t="shared" si="25"/>
        <v>1143949.3571428559</v>
      </c>
      <c r="E479" s="511">
        <f t="shared" si="29"/>
        <v>49736.928571428572</v>
      </c>
      <c r="F479" s="469">
        <f t="shared" si="24"/>
        <v>1094212.4285714272</v>
      </c>
      <c r="G479" s="935">
        <f t="shared" si="26"/>
        <v>217561.3127091612</v>
      </c>
      <c r="H479" s="938">
        <f t="shared" si="27"/>
        <v>217561.3127091612</v>
      </c>
      <c r="I479" s="509">
        <f t="shared" si="28"/>
        <v>0</v>
      </c>
      <c r="J479" s="509"/>
      <c r="K479" s="640"/>
      <c r="L479" s="514"/>
      <c r="M479" s="640"/>
      <c r="N479" s="514"/>
      <c r="O479" s="514"/>
    </row>
    <row r="480" spans="3:15">
      <c r="C480" s="505">
        <f>IF(D453="","-",+C479+1)</f>
        <v>2034</v>
      </c>
      <c r="D480" s="469">
        <f t="shared" si="25"/>
        <v>1094212.4285714272</v>
      </c>
      <c r="E480" s="511">
        <f t="shared" si="29"/>
        <v>49736.928571428572</v>
      </c>
      <c r="F480" s="469">
        <f t="shared" si="24"/>
        <v>1044475.4999999987</v>
      </c>
      <c r="G480" s="935">
        <f t="shared" si="26"/>
        <v>210102.45119192862</v>
      </c>
      <c r="H480" s="938">
        <f t="shared" si="27"/>
        <v>210102.45119192862</v>
      </c>
      <c r="I480" s="509">
        <f t="shared" si="28"/>
        <v>0</v>
      </c>
      <c r="J480" s="509"/>
      <c r="K480" s="640"/>
      <c r="L480" s="514"/>
      <c r="M480" s="640"/>
      <c r="N480" s="514"/>
      <c r="O480" s="514"/>
    </row>
    <row r="481" spans="3:15">
      <c r="C481" s="505">
        <f>IF(D453="","-",+C480+1)</f>
        <v>2035</v>
      </c>
      <c r="D481" s="469">
        <f t="shared" si="25"/>
        <v>1044475.4999999987</v>
      </c>
      <c r="E481" s="511">
        <f t="shared" si="29"/>
        <v>49736.928571428572</v>
      </c>
      <c r="F481" s="469">
        <f t="shared" si="24"/>
        <v>994738.5714285702</v>
      </c>
      <c r="G481" s="935">
        <f t="shared" si="26"/>
        <v>202643.58967469606</v>
      </c>
      <c r="H481" s="938">
        <f t="shared" si="27"/>
        <v>202643.58967469606</v>
      </c>
      <c r="I481" s="509">
        <f t="shared" si="28"/>
        <v>0</v>
      </c>
      <c r="J481" s="509"/>
      <c r="K481" s="640"/>
      <c r="L481" s="514"/>
      <c r="M481" s="640"/>
      <c r="N481" s="514"/>
      <c r="O481" s="514"/>
    </row>
    <row r="482" spans="3:15">
      <c r="C482" s="505">
        <f>IF(D453="","-",+C481+1)</f>
        <v>2036</v>
      </c>
      <c r="D482" s="469">
        <f t="shared" si="25"/>
        <v>994738.5714285702</v>
      </c>
      <c r="E482" s="511">
        <f t="shared" si="29"/>
        <v>49736.928571428572</v>
      </c>
      <c r="F482" s="469">
        <f t="shared" si="24"/>
        <v>945001.64285714168</v>
      </c>
      <c r="G482" s="935">
        <f t="shared" si="26"/>
        <v>195184.72815746348</v>
      </c>
      <c r="H482" s="938">
        <f t="shared" si="27"/>
        <v>195184.72815746348</v>
      </c>
      <c r="I482" s="509">
        <f t="shared" si="28"/>
        <v>0</v>
      </c>
      <c r="J482" s="509"/>
      <c r="K482" s="640"/>
      <c r="L482" s="514"/>
      <c r="M482" s="640"/>
      <c r="N482" s="514"/>
      <c r="O482" s="514"/>
    </row>
    <row r="483" spans="3:15">
      <c r="C483" s="505">
        <f>IF(D453="","-",+C482+1)</f>
        <v>2037</v>
      </c>
      <c r="D483" s="469">
        <f t="shared" si="25"/>
        <v>945001.64285714168</v>
      </c>
      <c r="E483" s="511">
        <f t="shared" si="29"/>
        <v>49736.928571428572</v>
      </c>
      <c r="F483" s="469">
        <f t="shared" si="24"/>
        <v>895264.71428571315</v>
      </c>
      <c r="G483" s="935">
        <f t="shared" si="26"/>
        <v>187725.86664023093</v>
      </c>
      <c r="H483" s="938">
        <f t="shared" si="27"/>
        <v>187725.86664023093</v>
      </c>
      <c r="I483" s="509">
        <f t="shared" si="28"/>
        <v>0</v>
      </c>
      <c r="J483" s="509"/>
      <c r="K483" s="640"/>
      <c r="L483" s="514"/>
      <c r="M483" s="640"/>
      <c r="N483" s="514"/>
      <c r="O483" s="514"/>
    </row>
    <row r="484" spans="3:15">
      <c r="C484" s="505">
        <f>IF(D453="","-",+C483+1)</f>
        <v>2038</v>
      </c>
      <c r="D484" s="469">
        <f t="shared" si="25"/>
        <v>895264.71428571315</v>
      </c>
      <c r="E484" s="511">
        <f t="shared" si="29"/>
        <v>49736.928571428572</v>
      </c>
      <c r="F484" s="469">
        <f t="shared" si="24"/>
        <v>845527.78571428463</v>
      </c>
      <c r="G484" s="935">
        <f t="shared" si="26"/>
        <v>180267.00512299835</v>
      </c>
      <c r="H484" s="938">
        <f t="shared" si="27"/>
        <v>180267.00512299835</v>
      </c>
      <c r="I484" s="509">
        <f t="shared" si="28"/>
        <v>0</v>
      </c>
      <c r="J484" s="509"/>
      <c r="K484" s="640"/>
      <c r="L484" s="514"/>
      <c r="M484" s="640"/>
      <c r="N484" s="514"/>
      <c r="O484" s="514"/>
    </row>
    <row r="485" spans="3:15">
      <c r="C485" s="505">
        <f>IF(D453="","-",+C484+1)</f>
        <v>2039</v>
      </c>
      <c r="D485" s="469">
        <f t="shared" si="25"/>
        <v>845527.78571428463</v>
      </c>
      <c r="E485" s="511">
        <f t="shared" si="29"/>
        <v>49736.928571428572</v>
      </c>
      <c r="F485" s="469">
        <f t="shared" si="24"/>
        <v>795790.85714285611</v>
      </c>
      <c r="G485" s="935">
        <f t="shared" si="26"/>
        <v>172808.1436057658</v>
      </c>
      <c r="H485" s="938">
        <f t="shared" si="27"/>
        <v>172808.1436057658</v>
      </c>
      <c r="I485" s="509">
        <f t="shared" si="28"/>
        <v>0</v>
      </c>
      <c r="J485" s="509"/>
      <c r="K485" s="640"/>
      <c r="L485" s="514"/>
      <c r="M485" s="640"/>
      <c r="N485" s="514"/>
      <c r="O485" s="514"/>
    </row>
    <row r="486" spans="3:15">
      <c r="C486" s="505">
        <f>IF(D453="","-",+C485+1)</f>
        <v>2040</v>
      </c>
      <c r="D486" s="469">
        <f t="shared" si="25"/>
        <v>795790.85714285611</v>
      </c>
      <c r="E486" s="511">
        <f t="shared" si="29"/>
        <v>49736.928571428572</v>
      </c>
      <c r="F486" s="469">
        <f t="shared" si="24"/>
        <v>746053.92857142759</v>
      </c>
      <c r="G486" s="935">
        <f t="shared" si="26"/>
        <v>165349.28208853322</v>
      </c>
      <c r="H486" s="938">
        <f t="shared" si="27"/>
        <v>165349.28208853322</v>
      </c>
      <c r="I486" s="509">
        <f t="shared" si="28"/>
        <v>0</v>
      </c>
      <c r="J486" s="509"/>
      <c r="K486" s="640"/>
      <c r="L486" s="514"/>
      <c r="M486" s="640"/>
      <c r="N486" s="514"/>
      <c r="O486" s="514"/>
    </row>
    <row r="487" spans="3:15">
      <c r="C487" s="505">
        <f>IF(D453="","-",+C486+1)</f>
        <v>2041</v>
      </c>
      <c r="D487" s="469">
        <f t="shared" si="25"/>
        <v>746053.92857142759</v>
      </c>
      <c r="E487" s="511">
        <f t="shared" si="29"/>
        <v>49736.928571428572</v>
      </c>
      <c r="F487" s="469">
        <f t="shared" si="24"/>
        <v>696316.99999999907</v>
      </c>
      <c r="G487" s="936">
        <f t="shared" si="26"/>
        <v>157890.4205713007</v>
      </c>
      <c r="H487" s="938">
        <f t="shared" si="27"/>
        <v>157890.4205713007</v>
      </c>
      <c r="I487" s="509">
        <f t="shared" si="28"/>
        <v>0</v>
      </c>
      <c r="J487" s="509"/>
      <c r="K487" s="640"/>
      <c r="L487" s="514"/>
      <c r="M487" s="640"/>
      <c r="N487" s="514"/>
      <c r="O487" s="514"/>
    </row>
    <row r="488" spans="3:15">
      <c r="C488" s="505">
        <f>IF(D453="","-",+C487+1)</f>
        <v>2042</v>
      </c>
      <c r="D488" s="469">
        <f t="shared" si="25"/>
        <v>696316.99999999907</v>
      </c>
      <c r="E488" s="511">
        <f t="shared" si="29"/>
        <v>49736.928571428572</v>
      </c>
      <c r="F488" s="469">
        <f t="shared" si="24"/>
        <v>646580.07142857055</v>
      </c>
      <c r="G488" s="935">
        <f t="shared" si="26"/>
        <v>150431.55905406812</v>
      </c>
      <c r="H488" s="938">
        <f t="shared" si="27"/>
        <v>150431.55905406812</v>
      </c>
      <c r="I488" s="509">
        <f t="shared" si="28"/>
        <v>0</v>
      </c>
      <c r="J488" s="509"/>
      <c r="K488" s="640"/>
      <c r="L488" s="514"/>
      <c r="M488" s="640"/>
      <c r="N488" s="514"/>
      <c r="O488" s="514"/>
    </row>
    <row r="489" spans="3:15">
      <c r="C489" s="505">
        <f>IF(D453="","-",+C488+1)</f>
        <v>2043</v>
      </c>
      <c r="D489" s="469">
        <f t="shared" si="25"/>
        <v>646580.07142857055</v>
      </c>
      <c r="E489" s="511">
        <f t="shared" si="29"/>
        <v>49736.928571428572</v>
      </c>
      <c r="F489" s="469">
        <f t="shared" si="24"/>
        <v>596843.14285714203</v>
      </c>
      <c r="G489" s="935">
        <f t="shared" si="26"/>
        <v>142972.69753683556</v>
      </c>
      <c r="H489" s="938">
        <f t="shared" si="27"/>
        <v>142972.69753683556</v>
      </c>
      <c r="I489" s="509">
        <f t="shared" si="28"/>
        <v>0</v>
      </c>
      <c r="J489" s="509"/>
      <c r="K489" s="640"/>
      <c r="L489" s="514"/>
      <c r="M489" s="640"/>
      <c r="N489" s="514"/>
      <c r="O489" s="514"/>
    </row>
    <row r="490" spans="3:15">
      <c r="C490" s="505">
        <f>IF(D453="","-",+C489+1)</f>
        <v>2044</v>
      </c>
      <c r="D490" s="469">
        <f t="shared" si="25"/>
        <v>596843.14285714203</v>
      </c>
      <c r="E490" s="511">
        <f t="shared" si="29"/>
        <v>49736.928571428572</v>
      </c>
      <c r="F490" s="469">
        <f t="shared" si="24"/>
        <v>547106.2142857135</v>
      </c>
      <c r="G490" s="935">
        <f t="shared" si="26"/>
        <v>135513.83601960298</v>
      </c>
      <c r="H490" s="938">
        <f t="shared" si="27"/>
        <v>135513.83601960298</v>
      </c>
      <c r="I490" s="509">
        <f t="shared" si="28"/>
        <v>0</v>
      </c>
      <c r="J490" s="509"/>
      <c r="K490" s="640"/>
      <c r="L490" s="514"/>
      <c r="M490" s="640"/>
      <c r="N490" s="514"/>
      <c r="O490" s="514"/>
    </row>
    <row r="491" spans="3:15">
      <c r="C491" s="505">
        <f>IF(D453="","-",+C490+1)</f>
        <v>2045</v>
      </c>
      <c r="D491" s="469">
        <f t="shared" si="25"/>
        <v>547106.2142857135</v>
      </c>
      <c r="E491" s="511">
        <f t="shared" si="29"/>
        <v>49736.928571428572</v>
      </c>
      <c r="F491" s="469">
        <f t="shared" si="24"/>
        <v>497369.28571428492</v>
      </c>
      <c r="G491" s="935">
        <f t="shared" si="26"/>
        <v>128054.97450237043</v>
      </c>
      <c r="H491" s="938">
        <f t="shared" si="27"/>
        <v>128054.97450237043</v>
      </c>
      <c r="I491" s="509">
        <f t="shared" si="28"/>
        <v>0</v>
      </c>
      <c r="J491" s="509"/>
      <c r="K491" s="640"/>
      <c r="L491" s="514"/>
      <c r="M491" s="640"/>
      <c r="N491" s="514"/>
      <c r="O491" s="514"/>
    </row>
    <row r="492" spans="3:15">
      <c r="C492" s="505">
        <f>IF(D453="","-",+C491+1)</f>
        <v>2046</v>
      </c>
      <c r="D492" s="469">
        <f t="shared" si="25"/>
        <v>497369.28571428492</v>
      </c>
      <c r="E492" s="511">
        <f t="shared" si="29"/>
        <v>49736.928571428572</v>
      </c>
      <c r="F492" s="469">
        <f t="shared" si="24"/>
        <v>447632.35714285634</v>
      </c>
      <c r="G492" s="935">
        <f t="shared" si="26"/>
        <v>120596.11298513785</v>
      </c>
      <c r="H492" s="938">
        <f t="shared" si="27"/>
        <v>120596.11298513785</v>
      </c>
      <c r="I492" s="509">
        <f t="shared" si="28"/>
        <v>0</v>
      </c>
      <c r="J492" s="509"/>
      <c r="K492" s="640"/>
      <c r="L492" s="514"/>
      <c r="M492" s="640"/>
      <c r="N492" s="514"/>
      <c r="O492" s="514"/>
    </row>
    <row r="493" spans="3:15">
      <c r="C493" s="505">
        <f>IF(D453="","-",+C492+1)</f>
        <v>2047</v>
      </c>
      <c r="D493" s="469">
        <f t="shared" si="25"/>
        <v>447632.35714285634</v>
      </c>
      <c r="E493" s="511">
        <f t="shared" si="29"/>
        <v>49736.928571428572</v>
      </c>
      <c r="F493" s="469">
        <f t="shared" si="24"/>
        <v>397895.42857142776</v>
      </c>
      <c r="G493" s="935">
        <f t="shared" si="26"/>
        <v>113137.25146790528</v>
      </c>
      <c r="H493" s="938">
        <f t="shared" si="27"/>
        <v>113137.25146790528</v>
      </c>
      <c r="I493" s="509">
        <f t="shared" si="28"/>
        <v>0</v>
      </c>
      <c r="J493" s="509"/>
      <c r="K493" s="640"/>
      <c r="L493" s="514"/>
      <c r="M493" s="640"/>
      <c r="N493" s="514"/>
      <c r="O493" s="514"/>
    </row>
    <row r="494" spans="3:15">
      <c r="C494" s="505">
        <f>IF(D453="","-",+C493+1)</f>
        <v>2048</v>
      </c>
      <c r="D494" s="469">
        <f t="shared" si="25"/>
        <v>397895.42857142776</v>
      </c>
      <c r="E494" s="511">
        <f t="shared" si="29"/>
        <v>49736.928571428572</v>
      </c>
      <c r="F494" s="469">
        <f t="shared" si="24"/>
        <v>348158.49999999919</v>
      </c>
      <c r="G494" s="935">
        <f t="shared" si="26"/>
        <v>105678.38995067272</v>
      </c>
      <c r="H494" s="938">
        <f t="shared" si="27"/>
        <v>105678.38995067272</v>
      </c>
      <c r="I494" s="509">
        <f t="shared" si="28"/>
        <v>0</v>
      </c>
      <c r="J494" s="509"/>
      <c r="K494" s="640"/>
      <c r="L494" s="514"/>
      <c r="M494" s="640"/>
      <c r="N494" s="514"/>
      <c r="O494" s="514"/>
    </row>
    <row r="495" spans="3:15">
      <c r="C495" s="505">
        <f>IF(D453="","-",+C494+1)</f>
        <v>2049</v>
      </c>
      <c r="D495" s="469">
        <f t="shared" si="25"/>
        <v>348158.49999999919</v>
      </c>
      <c r="E495" s="511">
        <f t="shared" si="29"/>
        <v>49736.928571428572</v>
      </c>
      <c r="F495" s="469">
        <f t="shared" si="24"/>
        <v>298421.57142857061</v>
      </c>
      <c r="G495" s="935">
        <f t="shared" si="26"/>
        <v>98219.528433440137</v>
      </c>
      <c r="H495" s="938">
        <f t="shared" si="27"/>
        <v>98219.528433440137</v>
      </c>
      <c r="I495" s="509">
        <f t="shared" si="28"/>
        <v>0</v>
      </c>
      <c r="J495" s="509"/>
      <c r="K495" s="640"/>
      <c r="L495" s="514"/>
      <c r="M495" s="640"/>
      <c r="N495" s="514"/>
      <c r="O495" s="514"/>
    </row>
    <row r="496" spans="3:15">
      <c r="C496" s="505">
        <f>IF(D453="","-",+C495+1)</f>
        <v>2050</v>
      </c>
      <c r="D496" s="469">
        <f t="shared" si="25"/>
        <v>298421.57142857061</v>
      </c>
      <c r="E496" s="511">
        <f t="shared" si="29"/>
        <v>49736.928571428572</v>
      </c>
      <c r="F496" s="469">
        <f t="shared" si="24"/>
        <v>248684.64285714203</v>
      </c>
      <c r="G496" s="935">
        <f t="shared" si="26"/>
        <v>90760.666916207585</v>
      </c>
      <c r="H496" s="938">
        <f t="shared" si="27"/>
        <v>90760.666916207585</v>
      </c>
      <c r="I496" s="509">
        <f t="shared" si="28"/>
        <v>0</v>
      </c>
      <c r="J496" s="509"/>
      <c r="K496" s="640"/>
      <c r="L496" s="514"/>
      <c r="M496" s="640"/>
      <c r="N496" s="514"/>
      <c r="O496" s="514"/>
    </row>
    <row r="497" spans="3:15">
      <c r="C497" s="505">
        <f>IF(D453="","-",+C496+1)</f>
        <v>2051</v>
      </c>
      <c r="D497" s="469">
        <f t="shared" si="25"/>
        <v>248684.64285714203</v>
      </c>
      <c r="E497" s="511">
        <f t="shared" si="29"/>
        <v>49736.928571428572</v>
      </c>
      <c r="F497" s="469">
        <f t="shared" si="24"/>
        <v>198947.71428571345</v>
      </c>
      <c r="G497" s="935">
        <f t="shared" si="26"/>
        <v>83301.805398975004</v>
      </c>
      <c r="H497" s="938">
        <f t="shared" si="27"/>
        <v>83301.805398975004</v>
      </c>
      <c r="I497" s="509">
        <f t="shared" si="28"/>
        <v>0</v>
      </c>
      <c r="J497" s="509"/>
      <c r="K497" s="640"/>
      <c r="L497" s="514"/>
      <c r="M497" s="640"/>
      <c r="N497" s="514"/>
      <c r="O497" s="514"/>
    </row>
    <row r="498" spans="3:15">
      <c r="C498" s="505">
        <f>IF(D453="","-",+C497+1)</f>
        <v>2052</v>
      </c>
      <c r="D498" s="469">
        <f t="shared" si="25"/>
        <v>198947.71428571345</v>
      </c>
      <c r="E498" s="511">
        <f t="shared" si="29"/>
        <v>49736.928571428572</v>
      </c>
      <c r="F498" s="469">
        <f t="shared" si="24"/>
        <v>149210.78571428487</v>
      </c>
      <c r="G498" s="935">
        <f t="shared" si="26"/>
        <v>75842.943881742438</v>
      </c>
      <c r="H498" s="938">
        <f t="shared" si="27"/>
        <v>75842.943881742438</v>
      </c>
      <c r="I498" s="509">
        <f t="shared" si="28"/>
        <v>0</v>
      </c>
      <c r="J498" s="509"/>
      <c r="K498" s="640"/>
      <c r="L498" s="514"/>
      <c r="M498" s="640"/>
      <c r="N498" s="514"/>
      <c r="O498" s="514"/>
    </row>
    <row r="499" spans="3:15">
      <c r="C499" s="505">
        <f>IF(D453="","-",+C498+1)</f>
        <v>2053</v>
      </c>
      <c r="D499" s="469">
        <f t="shared" si="25"/>
        <v>149210.78571428487</v>
      </c>
      <c r="E499" s="511">
        <f t="shared" si="29"/>
        <v>49736.928571428572</v>
      </c>
      <c r="F499" s="469">
        <f t="shared" si="24"/>
        <v>99473.857142856286</v>
      </c>
      <c r="G499" s="935">
        <f t="shared" si="26"/>
        <v>68384.082364509872</v>
      </c>
      <c r="H499" s="938">
        <f t="shared" si="27"/>
        <v>68384.082364509872</v>
      </c>
      <c r="I499" s="509">
        <f t="shared" si="28"/>
        <v>0</v>
      </c>
      <c r="J499" s="509"/>
      <c r="K499" s="640"/>
      <c r="L499" s="514"/>
      <c r="M499" s="640"/>
      <c r="N499" s="514"/>
      <c r="O499" s="514"/>
    </row>
    <row r="500" spans="3:15">
      <c r="C500" s="505">
        <f>IF(D453="","-",+C499+1)</f>
        <v>2054</v>
      </c>
      <c r="D500" s="469">
        <f t="shared" si="25"/>
        <v>99473.857142856286</v>
      </c>
      <c r="E500" s="511">
        <f t="shared" si="29"/>
        <v>49736.928571428572</v>
      </c>
      <c r="F500" s="469">
        <f t="shared" si="24"/>
        <v>49736.928571427714</v>
      </c>
      <c r="G500" s="935">
        <f t="shared" si="26"/>
        <v>60925.220847277298</v>
      </c>
      <c r="H500" s="938">
        <f t="shared" si="27"/>
        <v>60925.220847277298</v>
      </c>
      <c r="I500" s="509">
        <f t="shared" si="28"/>
        <v>0</v>
      </c>
      <c r="J500" s="509"/>
      <c r="K500" s="640"/>
      <c r="L500" s="514"/>
      <c r="M500" s="640"/>
      <c r="N500" s="514"/>
      <c r="O500" s="514"/>
    </row>
    <row r="501" spans="3:15">
      <c r="C501" s="505">
        <f>IF(D453="","-",+C500+1)</f>
        <v>2055</v>
      </c>
      <c r="D501" s="469">
        <f t="shared" si="25"/>
        <v>49736.928571427714</v>
      </c>
      <c r="E501" s="511">
        <f t="shared" si="29"/>
        <v>49736.928571427714</v>
      </c>
      <c r="F501" s="469">
        <f t="shared" si="24"/>
        <v>0</v>
      </c>
      <c r="G501" s="935">
        <f t="shared" si="26"/>
        <v>53466.359330043932</v>
      </c>
      <c r="H501" s="938">
        <f t="shared" si="27"/>
        <v>53466.359330043932</v>
      </c>
      <c r="I501" s="509">
        <f t="shared" si="28"/>
        <v>0</v>
      </c>
      <c r="J501" s="509"/>
      <c r="K501" s="640"/>
      <c r="L501" s="514"/>
      <c r="M501" s="640"/>
      <c r="N501" s="514"/>
      <c r="O501" s="514"/>
    </row>
    <row r="502" spans="3:15">
      <c r="C502" s="505">
        <f>IF(D453="","-",+C501+1)</f>
        <v>2056</v>
      </c>
      <c r="D502" s="469">
        <f t="shared" si="25"/>
        <v>0</v>
      </c>
      <c r="E502" s="511">
        <f t="shared" si="29"/>
        <v>0</v>
      </c>
      <c r="F502" s="469">
        <f t="shared" si="24"/>
        <v>0</v>
      </c>
      <c r="G502" s="935">
        <f t="shared" si="26"/>
        <v>0</v>
      </c>
      <c r="H502" s="938">
        <f t="shared" si="27"/>
        <v>0</v>
      </c>
      <c r="I502" s="509">
        <f t="shared" si="28"/>
        <v>0</v>
      </c>
      <c r="J502" s="509"/>
      <c r="K502" s="640"/>
      <c r="L502" s="514"/>
      <c r="M502" s="640"/>
      <c r="N502" s="514"/>
      <c r="O502" s="514"/>
    </row>
    <row r="503" spans="3:15">
      <c r="C503" s="505">
        <f>IF(D453="","-",+C502+1)</f>
        <v>2057</v>
      </c>
      <c r="D503" s="469">
        <f t="shared" si="25"/>
        <v>0</v>
      </c>
      <c r="E503" s="511">
        <f t="shared" si="29"/>
        <v>0</v>
      </c>
      <c r="F503" s="469">
        <f t="shared" si="24"/>
        <v>0</v>
      </c>
      <c r="G503" s="935">
        <f t="shared" si="26"/>
        <v>0</v>
      </c>
      <c r="H503" s="938">
        <f t="shared" si="27"/>
        <v>0</v>
      </c>
      <c r="I503" s="509">
        <f t="shared" si="28"/>
        <v>0</v>
      </c>
      <c r="J503" s="509"/>
      <c r="K503" s="640"/>
      <c r="L503" s="514"/>
      <c r="M503" s="640"/>
      <c r="N503" s="514"/>
      <c r="O503" s="514"/>
    </row>
    <row r="504" spans="3:15">
      <c r="C504" s="505">
        <f>IF(D453="","-",+C503+1)</f>
        <v>2058</v>
      </c>
      <c r="D504" s="469">
        <f t="shared" si="25"/>
        <v>0</v>
      </c>
      <c r="E504" s="511">
        <f t="shared" si="29"/>
        <v>0</v>
      </c>
      <c r="F504" s="469">
        <f t="shared" si="24"/>
        <v>0</v>
      </c>
      <c r="G504" s="935">
        <f t="shared" si="26"/>
        <v>0</v>
      </c>
      <c r="H504" s="938">
        <f t="shared" si="27"/>
        <v>0</v>
      </c>
      <c r="I504" s="509">
        <f t="shared" si="28"/>
        <v>0</v>
      </c>
      <c r="J504" s="509"/>
      <c r="K504" s="640"/>
      <c r="L504" s="514"/>
      <c r="M504" s="640"/>
      <c r="N504" s="514"/>
      <c r="O504" s="514"/>
    </row>
    <row r="505" spans="3:15">
      <c r="C505" s="505">
        <f>IF(D453="","-",+C504+1)</f>
        <v>2059</v>
      </c>
      <c r="D505" s="469">
        <f t="shared" si="25"/>
        <v>0</v>
      </c>
      <c r="E505" s="511">
        <f t="shared" si="29"/>
        <v>0</v>
      </c>
      <c r="F505" s="469">
        <f t="shared" si="24"/>
        <v>0</v>
      </c>
      <c r="G505" s="935">
        <f t="shared" si="26"/>
        <v>0</v>
      </c>
      <c r="H505" s="938">
        <f t="shared" si="27"/>
        <v>0</v>
      </c>
      <c r="I505" s="509">
        <f t="shared" si="28"/>
        <v>0</v>
      </c>
      <c r="J505" s="509"/>
      <c r="K505" s="640"/>
      <c r="L505" s="514"/>
      <c r="M505" s="640"/>
      <c r="N505" s="514"/>
      <c r="O505" s="514"/>
    </row>
    <row r="506" spans="3:15">
      <c r="C506" s="505">
        <f>IF(D453="","-",+C505+1)</f>
        <v>2060</v>
      </c>
      <c r="D506" s="469">
        <f t="shared" si="25"/>
        <v>0</v>
      </c>
      <c r="E506" s="511">
        <f t="shared" si="29"/>
        <v>0</v>
      </c>
      <c r="F506" s="469">
        <f t="shared" si="24"/>
        <v>0</v>
      </c>
      <c r="G506" s="935">
        <f t="shared" si="26"/>
        <v>0</v>
      </c>
      <c r="H506" s="938">
        <f t="shared" si="27"/>
        <v>0</v>
      </c>
      <c r="I506" s="509">
        <f t="shared" si="28"/>
        <v>0</v>
      </c>
      <c r="J506" s="509"/>
      <c r="K506" s="640"/>
      <c r="L506" s="514"/>
      <c r="M506" s="640"/>
      <c r="N506" s="514"/>
      <c r="O506" s="514"/>
    </row>
    <row r="507" spans="3:15">
      <c r="C507" s="505">
        <f>IF(D453="","-",+C506+1)</f>
        <v>2061</v>
      </c>
      <c r="D507" s="469">
        <f t="shared" si="25"/>
        <v>0</v>
      </c>
      <c r="E507" s="511">
        <f t="shared" si="29"/>
        <v>0</v>
      </c>
      <c r="F507" s="469">
        <f t="shared" si="24"/>
        <v>0</v>
      </c>
      <c r="G507" s="935">
        <f t="shared" si="26"/>
        <v>0</v>
      </c>
      <c r="H507" s="938">
        <f t="shared" si="27"/>
        <v>0</v>
      </c>
      <c r="I507" s="509">
        <f t="shared" si="28"/>
        <v>0</v>
      </c>
      <c r="J507" s="509"/>
      <c r="K507" s="640"/>
      <c r="L507" s="514"/>
      <c r="M507" s="640"/>
      <c r="N507" s="514"/>
      <c r="O507" s="514"/>
    </row>
    <row r="508" spans="3:15">
      <c r="C508" s="505">
        <f>IF(D453="","-",+C507+1)</f>
        <v>2062</v>
      </c>
      <c r="D508" s="469">
        <f t="shared" si="25"/>
        <v>0</v>
      </c>
      <c r="E508" s="511">
        <f t="shared" si="29"/>
        <v>0</v>
      </c>
      <c r="F508" s="469">
        <f t="shared" si="24"/>
        <v>0</v>
      </c>
      <c r="G508" s="935">
        <f t="shared" si="26"/>
        <v>0</v>
      </c>
      <c r="H508" s="938">
        <f t="shared" si="27"/>
        <v>0</v>
      </c>
      <c r="I508" s="509">
        <f t="shared" si="28"/>
        <v>0</v>
      </c>
      <c r="J508" s="509"/>
      <c r="K508" s="640"/>
      <c r="L508" s="514"/>
      <c r="M508" s="640"/>
      <c r="N508" s="514"/>
      <c r="O508" s="514"/>
    </row>
    <row r="509" spans="3:15">
      <c r="C509" s="505">
        <f>IF(D453="","-",+C508+1)</f>
        <v>2063</v>
      </c>
      <c r="D509" s="469">
        <f t="shared" si="25"/>
        <v>0</v>
      </c>
      <c r="E509" s="511">
        <f t="shared" si="29"/>
        <v>0</v>
      </c>
      <c r="F509" s="469">
        <f t="shared" si="24"/>
        <v>0</v>
      </c>
      <c r="G509" s="935">
        <f t="shared" si="26"/>
        <v>0</v>
      </c>
      <c r="H509" s="938">
        <f t="shared" si="27"/>
        <v>0</v>
      </c>
      <c r="I509" s="509">
        <f t="shared" si="28"/>
        <v>0</v>
      </c>
      <c r="J509" s="509"/>
      <c r="K509" s="640"/>
      <c r="L509" s="514"/>
      <c r="M509" s="640"/>
      <c r="N509" s="514"/>
      <c r="O509" s="514"/>
    </row>
    <row r="510" spans="3:15">
      <c r="C510" s="505">
        <f>IF(D453="","-",+C509+1)</f>
        <v>2064</v>
      </c>
      <c r="D510" s="469">
        <f t="shared" si="25"/>
        <v>0</v>
      </c>
      <c r="E510" s="511">
        <f t="shared" si="29"/>
        <v>0</v>
      </c>
      <c r="F510" s="469">
        <f t="shared" si="24"/>
        <v>0</v>
      </c>
      <c r="G510" s="935">
        <f t="shared" si="26"/>
        <v>0</v>
      </c>
      <c r="H510" s="938">
        <f t="shared" si="27"/>
        <v>0</v>
      </c>
      <c r="I510" s="509">
        <f t="shared" si="28"/>
        <v>0</v>
      </c>
      <c r="J510" s="509"/>
      <c r="K510" s="640"/>
      <c r="L510" s="514"/>
      <c r="M510" s="640"/>
      <c r="N510" s="514"/>
      <c r="O510" s="514"/>
    </row>
    <row r="511" spans="3:15">
      <c r="C511" s="505">
        <f>IF(D453="","-",+C510+1)</f>
        <v>2065</v>
      </c>
      <c r="D511" s="469">
        <f t="shared" si="25"/>
        <v>0</v>
      </c>
      <c r="E511" s="511">
        <f t="shared" si="29"/>
        <v>0</v>
      </c>
      <c r="F511" s="469">
        <f t="shared" si="24"/>
        <v>0</v>
      </c>
      <c r="G511" s="935">
        <f t="shared" si="26"/>
        <v>0</v>
      </c>
      <c r="H511" s="938">
        <f t="shared" si="27"/>
        <v>0</v>
      </c>
      <c r="I511" s="509">
        <f t="shared" si="28"/>
        <v>0</v>
      </c>
      <c r="J511" s="509"/>
      <c r="K511" s="640"/>
      <c r="L511" s="514"/>
      <c r="M511" s="640"/>
      <c r="N511" s="514"/>
      <c r="O511" s="514"/>
    </row>
    <row r="512" spans="3:15">
      <c r="C512" s="505">
        <f>IF(D453="","-",+C511+1)</f>
        <v>2066</v>
      </c>
      <c r="D512" s="469">
        <f t="shared" si="25"/>
        <v>0</v>
      </c>
      <c r="E512" s="511">
        <f t="shared" si="29"/>
        <v>0</v>
      </c>
      <c r="F512" s="469">
        <f t="shared" si="24"/>
        <v>0</v>
      </c>
      <c r="G512" s="935">
        <f t="shared" si="26"/>
        <v>0</v>
      </c>
      <c r="H512" s="938">
        <f t="shared" si="27"/>
        <v>0</v>
      </c>
      <c r="I512" s="509">
        <f t="shared" si="28"/>
        <v>0</v>
      </c>
      <c r="J512" s="509"/>
      <c r="K512" s="640"/>
      <c r="L512" s="514"/>
      <c r="M512" s="640"/>
      <c r="N512" s="514"/>
      <c r="O512" s="514"/>
    </row>
    <row r="513" spans="3:15">
      <c r="C513" s="505">
        <f>IF(D453="","-",+C512+1)</f>
        <v>2067</v>
      </c>
      <c r="D513" s="469">
        <f t="shared" si="25"/>
        <v>0</v>
      </c>
      <c r="E513" s="511">
        <f t="shared" si="29"/>
        <v>0</v>
      </c>
      <c r="F513" s="469">
        <f t="shared" si="24"/>
        <v>0</v>
      </c>
      <c r="G513" s="935">
        <f t="shared" si="26"/>
        <v>0</v>
      </c>
      <c r="H513" s="938">
        <f t="shared" si="27"/>
        <v>0</v>
      </c>
      <c r="I513" s="509">
        <f t="shared" si="28"/>
        <v>0</v>
      </c>
      <c r="J513" s="509"/>
      <c r="K513" s="640"/>
      <c r="L513" s="514"/>
      <c r="M513" s="640"/>
      <c r="N513" s="514"/>
      <c r="O513" s="514"/>
    </row>
    <row r="514" spans="3:15">
      <c r="C514" s="505">
        <f>IF(D453="","-",+C513+1)</f>
        <v>2068</v>
      </c>
      <c r="D514" s="469">
        <f t="shared" si="25"/>
        <v>0</v>
      </c>
      <c r="E514" s="511">
        <f t="shared" si="29"/>
        <v>0</v>
      </c>
      <c r="F514" s="469">
        <f t="shared" si="24"/>
        <v>0</v>
      </c>
      <c r="G514" s="935">
        <f t="shared" si="26"/>
        <v>0</v>
      </c>
      <c r="H514" s="938">
        <f t="shared" si="27"/>
        <v>0</v>
      </c>
      <c r="I514" s="509">
        <f t="shared" si="28"/>
        <v>0</v>
      </c>
      <c r="J514" s="509"/>
      <c r="K514" s="640"/>
      <c r="L514" s="514"/>
      <c r="M514" s="640"/>
      <c r="N514" s="514"/>
      <c r="O514" s="514"/>
    </row>
    <row r="515" spans="3:15">
      <c r="C515" s="505">
        <f>IF(D453="","-",+C514+1)</f>
        <v>2069</v>
      </c>
      <c r="D515" s="469">
        <f t="shared" si="25"/>
        <v>0</v>
      </c>
      <c r="E515" s="511">
        <f t="shared" si="29"/>
        <v>0</v>
      </c>
      <c r="F515" s="469">
        <f t="shared" si="24"/>
        <v>0</v>
      </c>
      <c r="G515" s="935">
        <f t="shared" si="26"/>
        <v>0</v>
      </c>
      <c r="H515" s="938">
        <f t="shared" si="27"/>
        <v>0</v>
      </c>
      <c r="I515" s="509">
        <f t="shared" si="28"/>
        <v>0</v>
      </c>
      <c r="J515" s="509"/>
      <c r="K515" s="640"/>
      <c r="L515" s="514"/>
      <c r="M515" s="640"/>
      <c r="N515" s="514"/>
      <c r="O515" s="514"/>
    </row>
    <row r="516" spans="3:15">
      <c r="C516" s="505">
        <f>IF(D453="","-",+C515+1)</f>
        <v>2070</v>
      </c>
      <c r="D516" s="469">
        <f t="shared" si="25"/>
        <v>0</v>
      </c>
      <c r="E516" s="511">
        <f t="shared" si="29"/>
        <v>0</v>
      </c>
      <c r="F516" s="469">
        <f t="shared" si="24"/>
        <v>0</v>
      </c>
      <c r="G516" s="935">
        <f t="shared" si="26"/>
        <v>0</v>
      </c>
      <c r="H516" s="938">
        <f t="shared" si="27"/>
        <v>0</v>
      </c>
      <c r="I516" s="509">
        <f t="shared" si="28"/>
        <v>0</v>
      </c>
      <c r="J516" s="509"/>
      <c r="K516" s="640"/>
      <c r="L516" s="514"/>
      <c r="M516" s="640"/>
      <c r="N516" s="514"/>
      <c r="O516" s="514"/>
    </row>
    <row r="517" spans="3:15">
      <c r="C517" s="505">
        <f>IF(D453="","-",+C516+1)</f>
        <v>2071</v>
      </c>
      <c r="D517" s="469">
        <f t="shared" si="25"/>
        <v>0</v>
      </c>
      <c r="E517" s="511">
        <f t="shared" si="29"/>
        <v>0</v>
      </c>
      <c r="F517" s="469">
        <f t="shared" si="24"/>
        <v>0</v>
      </c>
      <c r="G517" s="935">
        <f t="shared" si="26"/>
        <v>0</v>
      </c>
      <c r="H517" s="938">
        <f t="shared" si="27"/>
        <v>0</v>
      </c>
      <c r="I517" s="509">
        <f t="shared" si="28"/>
        <v>0</v>
      </c>
      <c r="J517" s="509"/>
      <c r="K517" s="640"/>
      <c r="L517" s="514"/>
      <c r="M517" s="640"/>
      <c r="N517" s="514"/>
      <c r="O517" s="514"/>
    </row>
    <row r="518" spans="3:15" ht="13.5" thickBot="1">
      <c r="C518" s="515">
        <f>IF(D453="","-",+C517+1)</f>
        <v>2072</v>
      </c>
      <c r="D518" s="516">
        <f t="shared" si="25"/>
        <v>0</v>
      </c>
      <c r="E518" s="517">
        <f t="shared" si="29"/>
        <v>0</v>
      </c>
      <c r="F518" s="516">
        <f t="shared" si="24"/>
        <v>0</v>
      </c>
      <c r="G518" s="946">
        <f t="shared" si="26"/>
        <v>0</v>
      </c>
      <c r="H518" s="946">
        <f t="shared" si="27"/>
        <v>0</v>
      </c>
      <c r="I518" s="519">
        <f t="shared" si="28"/>
        <v>0</v>
      </c>
      <c r="J518" s="509"/>
      <c r="K518" s="641"/>
      <c r="L518" s="521"/>
      <c r="M518" s="641"/>
      <c r="N518" s="521"/>
      <c r="O518" s="521"/>
    </row>
    <row r="519" spans="3:15">
      <c r="C519" s="469" t="s">
        <v>288</v>
      </c>
      <c r="D519" s="915"/>
      <c r="E519" s="469"/>
      <c r="F519" s="915"/>
      <c r="G519" s="915">
        <f>SUM(G459:G518)</f>
        <v>8980939.0419228878</v>
      </c>
      <c r="H519" s="915">
        <f>SUM(H459:H518)</f>
        <v>8980939.0419228878</v>
      </c>
      <c r="I519" s="915">
        <f>SUM(I459:I518)</f>
        <v>0</v>
      </c>
      <c r="J519" s="915"/>
      <c r="K519" s="915"/>
      <c r="L519" s="915"/>
      <c r="M519" s="915"/>
      <c r="N519" s="915"/>
      <c r="O519" s="4"/>
    </row>
    <row r="520" spans="3:15">
      <c r="D520" s="79"/>
      <c r="E520" s="4"/>
      <c r="F520" s="4"/>
      <c r="G520" s="4"/>
      <c r="H520" s="914"/>
      <c r="I520" s="914"/>
      <c r="J520" s="915"/>
      <c r="K520" s="914"/>
      <c r="L520" s="914"/>
      <c r="M520" s="914"/>
      <c r="N520" s="914"/>
      <c r="O520" s="4"/>
    </row>
    <row r="521" spans="3:15">
      <c r="C521" s="4" t="s">
        <v>595</v>
      </c>
      <c r="D521" s="79"/>
      <c r="E521" s="4"/>
      <c r="F521" s="4"/>
      <c r="G521" s="4"/>
      <c r="H521" s="914"/>
      <c r="I521" s="914"/>
      <c r="J521" s="915"/>
      <c r="K521" s="914"/>
      <c r="L521" s="914"/>
      <c r="M521" s="914"/>
      <c r="N521" s="914"/>
      <c r="O521" s="4"/>
    </row>
    <row r="522" spans="3:15">
      <c r="C522" s="4"/>
      <c r="D522" s="79"/>
      <c r="E522" s="4"/>
      <c r="F522" s="4"/>
      <c r="G522" s="4"/>
      <c r="H522" s="914"/>
      <c r="I522" s="914"/>
      <c r="J522" s="915"/>
      <c r="K522" s="914"/>
      <c r="L522" s="914"/>
      <c r="M522" s="914"/>
      <c r="N522" s="914"/>
      <c r="O522" s="4"/>
    </row>
    <row r="523" spans="3:15">
      <c r="C523" s="479" t="s">
        <v>924</v>
      </c>
      <c r="D523" s="469"/>
      <c r="E523" s="469"/>
      <c r="F523" s="469"/>
      <c r="G523" s="915"/>
      <c r="H523" s="915"/>
      <c r="I523" s="471"/>
      <c r="J523" s="471"/>
      <c r="K523" s="471"/>
      <c r="L523" s="471"/>
      <c r="M523" s="471"/>
      <c r="N523" s="471"/>
      <c r="O523" s="4"/>
    </row>
    <row r="524" spans="3:15">
      <c r="C524" s="479" t="s">
        <v>476</v>
      </c>
      <c r="D524" s="469"/>
      <c r="E524" s="469"/>
      <c r="F524" s="469"/>
      <c r="G524" s="915"/>
      <c r="H524" s="915"/>
      <c r="I524" s="471"/>
      <c r="J524" s="471"/>
      <c r="K524" s="471"/>
      <c r="L524" s="471"/>
      <c r="M524" s="471"/>
      <c r="N524" s="471"/>
      <c r="O524" s="4"/>
    </row>
    <row r="525" spans="3:15">
      <c r="C525" s="470" t="s">
        <v>289</v>
      </c>
      <c r="D525" s="469"/>
      <c r="E525" s="469"/>
      <c r="F525" s="469"/>
      <c r="G525" s="915"/>
      <c r="H525" s="915"/>
      <c r="I525" s="471"/>
      <c r="J525" s="471"/>
      <c r="K525" s="471"/>
      <c r="L525" s="471"/>
      <c r="M525" s="471"/>
      <c r="N525" s="471"/>
      <c r="O525" s="4"/>
    </row>
    <row r="526" spans="3:15">
      <c r="C526" s="470"/>
      <c r="D526" s="469"/>
      <c r="E526" s="469"/>
      <c r="F526" s="469"/>
      <c r="G526" s="915"/>
      <c r="H526" s="915"/>
      <c r="I526" s="471"/>
      <c r="J526" s="471"/>
      <c r="K526" s="471"/>
      <c r="L526" s="471"/>
      <c r="M526" s="471"/>
      <c r="N526" s="471"/>
      <c r="O526" s="4"/>
    </row>
    <row r="527" spans="3:15">
      <c r="C527" s="1275" t="s">
        <v>460</v>
      </c>
      <c r="D527" s="1275"/>
      <c r="E527" s="1275"/>
      <c r="F527" s="1275"/>
      <c r="G527" s="1275"/>
      <c r="H527" s="1275"/>
      <c r="I527" s="1275"/>
      <c r="J527" s="1275"/>
      <c r="K527" s="1275"/>
      <c r="L527" s="1275"/>
      <c r="M527" s="1275"/>
      <c r="N527" s="1275"/>
      <c r="O527" s="1275"/>
    </row>
    <row r="528" spans="3:15">
      <c r="C528" s="1275"/>
      <c r="D528" s="1275"/>
      <c r="E528" s="1275"/>
      <c r="F528" s="1275"/>
      <c r="G528" s="1275"/>
      <c r="H528" s="1275"/>
      <c r="I528" s="1275"/>
      <c r="J528" s="1275"/>
      <c r="K528" s="1275"/>
      <c r="L528" s="1275"/>
      <c r="M528" s="1275"/>
      <c r="N528" s="1275"/>
      <c r="O528" s="1275"/>
    </row>
    <row r="529" spans="1:16" ht="20.25">
      <c r="A529" s="411" t="s">
        <v>921</v>
      </c>
      <c r="B529" s="4"/>
      <c r="C529" s="4"/>
      <c r="D529" s="79"/>
      <c r="E529" s="4"/>
      <c r="F529" s="81"/>
      <c r="G529" s="4"/>
      <c r="H529" s="914"/>
      <c r="K529" s="11"/>
      <c r="L529" s="11"/>
      <c r="M529" s="11"/>
      <c r="N529" s="11" t="str">
        <f>"Page "&amp;SUM(P$6:P529)&amp;" of "</f>
        <v xml:space="preserve">Page 6 of </v>
      </c>
      <c r="O529" s="412">
        <f>COUNT(P$6:P$59579)</f>
        <v>22</v>
      </c>
      <c r="P529" s="4">
        <v>1</v>
      </c>
    </row>
    <row r="530" spans="1:16">
      <c r="B530" s="4"/>
      <c r="C530" s="4"/>
      <c r="D530" s="79"/>
      <c r="E530" s="4"/>
      <c r="F530" s="4"/>
      <c r="G530" s="4"/>
      <c r="H530" s="914"/>
      <c r="I530" s="4"/>
      <c r="J530" s="4"/>
      <c r="K530" s="4"/>
      <c r="L530" s="4"/>
      <c r="M530" s="4"/>
      <c r="N530" s="4"/>
      <c r="O530" s="4"/>
    </row>
    <row r="531" spans="1:16" ht="18">
      <c r="B531" s="413" t="s">
        <v>174</v>
      </c>
      <c r="C531" s="472" t="s">
        <v>290</v>
      </c>
      <c r="D531" s="79"/>
      <c r="E531" s="4"/>
      <c r="F531" s="4"/>
      <c r="G531" s="4"/>
      <c r="H531" s="914"/>
      <c r="I531" s="914"/>
      <c r="J531" s="915"/>
      <c r="K531" s="914"/>
      <c r="L531" s="914"/>
      <c r="M531" s="914"/>
      <c r="N531" s="914"/>
      <c r="O531" s="4"/>
    </row>
    <row r="532" spans="1:16" ht="18.75">
      <c r="B532" s="413"/>
      <c r="C532" s="13"/>
      <c r="D532" s="79"/>
      <c r="E532" s="4"/>
      <c r="F532" s="4"/>
      <c r="G532" s="4"/>
      <c r="H532" s="914"/>
      <c r="I532" s="914"/>
      <c r="J532" s="915"/>
      <c r="K532" s="914"/>
      <c r="L532" s="914"/>
      <c r="M532" s="914"/>
      <c r="N532" s="914"/>
      <c r="O532" s="4"/>
    </row>
    <row r="533" spans="1:16" ht="18.75">
      <c r="B533" s="413"/>
      <c r="C533" s="13" t="s">
        <v>291</v>
      </c>
      <c r="D533" s="79"/>
      <c r="E533" s="4"/>
      <c r="F533" s="4"/>
      <c r="G533" s="4"/>
      <c r="H533" s="914"/>
      <c r="I533" s="914"/>
      <c r="J533" s="915"/>
      <c r="K533" s="914"/>
      <c r="L533" s="914"/>
      <c r="M533" s="914"/>
      <c r="N533" s="914"/>
      <c r="O533" s="4"/>
    </row>
    <row r="534" spans="1:16" ht="15.75" thickBot="1">
      <c r="C534" s="247"/>
      <c r="D534" s="79"/>
      <c r="E534" s="4"/>
      <c r="F534" s="4"/>
      <c r="G534" s="4"/>
      <c r="H534" s="914"/>
      <c r="I534" s="914"/>
      <c r="J534" s="915"/>
      <c r="K534" s="914"/>
      <c r="L534" s="914"/>
      <c r="M534" s="914"/>
      <c r="N534" s="914"/>
      <c r="O534" s="4"/>
    </row>
    <row r="535" spans="1:16" ht="15.75">
      <c r="C535" s="414" t="s">
        <v>292</v>
      </c>
      <c r="D535" s="79"/>
      <c r="E535" s="4"/>
      <c r="F535" s="4"/>
      <c r="G535" s="948"/>
      <c r="H535" s="4" t="s">
        <v>271</v>
      </c>
      <c r="I535" s="4"/>
      <c r="J535" s="4"/>
      <c r="K535" s="473" t="s">
        <v>296</v>
      </c>
      <c r="L535" s="474"/>
      <c r="M535" s="475"/>
      <c r="N535" s="917">
        <f>VLOOKUP(I541,C548:O607,5)</f>
        <v>-7099.1313135994742</v>
      </c>
      <c r="O535" s="4"/>
    </row>
    <row r="536" spans="1:16" ht="15.75">
      <c r="C536" s="414"/>
      <c r="D536" s="79"/>
      <c r="E536" s="4"/>
      <c r="F536" s="4"/>
      <c r="G536" s="4"/>
      <c r="H536" s="918"/>
      <c r="I536" s="918"/>
      <c r="J536" s="919"/>
      <c r="K536" s="478" t="s">
        <v>297</v>
      </c>
      <c r="L536" s="920"/>
      <c r="M536" s="4"/>
      <c r="N536" s="921">
        <f>VLOOKUP(I541,C548:O607,6)</f>
        <v>-7099.1313135994742</v>
      </c>
      <c r="O536" s="4"/>
    </row>
    <row r="537" spans="1:16" ht="13.5" thickBot="1">
      <c r="C537" s="479" t="s">
        <v>293</v>
      </c>
      <c r="D537" s="643" t="s">
        <v>929</v>
      </c>
      <c r="E537" s="953"/>
      <c r="F537" s="953"/>
      <c r="G537" s="953"/>
      <c r="H537" s="643"/>
      <c r="I537" s="643"/>
      <c r="J537" s="915"/>
      <c r="K537" s="922" t="s">
        <v>450</v>
      </c>
      <c r="L537" s="923"/>
      <c r="M537" s="923"/>
      <c r="N537" s="924">
        <f>+N536-N535</f>
        <v>0</v>
      </c>
      <c r="O537" s="4"/>
    </row>
    <row r="538" spans="1:16">
      <c r="C538" s="481"/>
      <c r="D538" s="482"/>
      <c r="E538" s="469"/>
      <c r="F538" s="469"/>
      <c r="G538" s="483"/>
      <c r="H538" s="914"/>
      <c r="I538" s="914"/>
      <c r="J538" s="915"/>
      <c r="K538" s="914"/>
      <c r="L538" s="914"/>
      <c r="M538" s="914"/>
      <c r="N538" s="914"/>
      <c r="O538" s="4"/>
    </row>
    <row r="539" spans="1:16" ht="13.5" thickBot="1">
      <c r="C539" s="481"/>
      <c r="D539" s="925"/>
      <c r="E539" s="483"/>
      <c r="F539" s="483"/>
      <c r="G539" s="483"/>
      <c r="H539" s="483"/>
      <c r="I539" s="483"/>
      <c r="J539" s="483"/>
      <c r="K539" s="483"/>
      <c r="L539" s="483"/>
      <c r="M539" s="483"/>
      <c r="N539" s="483"/>
      <c r="O539" s="4"/>
    </row>
    <row r="540" spans="1:16" ht="13.5" thickBot="1">
      <c r="C540" s="484" t="s">
        <v>294</v>
      </c>
      <c r="D540" s="485"/>
      <c r="E540" s="485"/>
      <c r="F540" s="485"/>
      <c r="G540" s="485"/>
      <c r="H540" s="485"/>
      <c r="I540" s="486"/>
      <c r="K540" s="4"/>
      <c r="L540" s="4"/>
      <c r="M540" s="4"/>
      <c r="N540" s="4"/>
      <c r="O540" s="4"/>
    </row>
    <row r="541" spans="1:16" ht="15">
      <c r="C541" s="487" t="s">
        <v>272</v>
      </c>
      <c r="D541" s="926">
        <v>-42603</v>
      </c>
      <c r="E541" s="4" t="s">
        <v>273</v>
      </c>
      <c r="G541" s="79"/>
      <c r="H541" s="79"/>
      <c r="I541" s="488">
        <v>2018</v>
      </c>
      <c r="J541" s="135"/>
      <c r="K541" s="1277" t="s">
        <v>459</v>
      </c>
      <c r="L541" s="1277"/>
      <c r="M541" s="1277"/>
      <c r="N541" s="1277"/>
      <c r="O541" s="1277"/>
    </row>
    <row r="542" spans="1:16">
      <c r="C542" s="487" t="s">
        <v>275</v>
      </c>
      <c r="D542" s="644">
        <v>2016</v>
      </c>
      <c r="E542" s="487" t="s">
        <v>276</v>
      </c>
      <c r="F542" s="79"/>
      <c r="H542"/>
      <c r="I542" s="927">
        <f>IF(G535="",0,$F$15)</f>
        <v>0</v>
      </c>
      <c r="J542" s="489"/>
      <c r="K542" s="915" t="s">
        <v>459</v>
      </c>
    </row>
    <row r="543" spans="1:16">
      <c r="C543" s="487" t="s">
        <v>277</v>
      </c>
      <c r="D543" s="952">
        <v>6</v>
      </c>
      <c r="E543" s="487" t="s">
        <v>278</v>
      </c>
      <c r="F543" s="79"/>
      <c r="H543"/>
      <c r="I543" s="490">
        <f>$G$70</f>
        <v>0.14996626714737105</v>
      </c>
      <c r="J543" s="81"/>
      <c r="K543" t="str">
        <f>"          INPUT PROJECTED ARR (WITH &amp; WITHOUT INCENTIVES) FROM EACH PRIOR YEAR"</f>
        <v xml:space="preserve">          INPUT PROJECTED ARR (WITH &amp; WITHOUT INCENTIVES) FROM EACH PRIOR YEAR</v>
      </c>
    </row>
    <row r="544" spans="1:16">
      <c r="C544" s="487" t="s">
        <v>279</v>
      </c>
      <c r="D544" s="491">
        <f>G$79</f>
        <v>42</v>
      </c>
      <c r="E544" s="487" t="s">
        <v>280</v>
      </c>
      <c r="F544" s="79"/>
      <c r="H544"/>
      <c r="I544" s="490">
        <f>IF(G535="",I543,$G$67)</f>
        <v>0.14996626714737105</v>
      </c>
      <c r="J544" s="81"/>
      <c r="K544" t="s">
        <v>357</v>
      </c>
    </row>
    <row r="545" spans="1:15" ht="13.5" thickBot="1">
      <c r="C545" s="487" t="s">
        <v>281</v>
      </c>
      <c r="D545" s="637" t="s">
        <v>923</v>
      </c>
      <c r="E545" s="492" t="s">
        <v>282</v>
      </c>
      <c r="F545" s="493"/>
      <c r="G545" s="494"/>
      <c r="H545" s="494"/>
      <c r="I545" s="924">
        <f>IF(D541=0,0,D541/D544)</f>
        <v>-1014.3571428571429</v>
      </c>
      <c r="J545" s="915"/>
      <c r="K545" s="915" t="s">
        <v>363</v>
      </c>
      <c r="L545" s="915"/>
      <c r="M545" s="915"/>
      <c r="N545" s="915"/>
      <c r="O545" s="4"/>
    </row>
    <row r="546" spans="1:15" ht="51">
      <c r="A546" s="12"/>
      <c r="B546" s="12"/>
      <c r="C546" s="495" t="s">
        <v>272</v>
      </c>
      <c r="D546" s="928" t="s">
        <v>283</v>
      </c>
      <c r="E546" s="929" t="s">
        <v>284</v>
      </c>
      <c r="F546" s="928" t="s">
        <v>285</v>
      </c>
      <c r="G546" s="929" t="s">
        <v>356</v>
      </c>
      <c r="H546" s="930" t="s">
        <v>356</v>
      </c>
      <c r="I546" s="495" t="s">
        <v>295</v>
      </c>
      <c r="J546" s="499"/>
      <c r="K546" s="929" t="s">
        <v>365</v>
      </c>
      <c r="L546" s="931"/>
      <c r="M546" s="929" t="s">
        <v>365</v>
      </c>
      <c r="N546" s="931"/>
      <c r="O546" s="931"/>
    </row>
    <row r="547" spans="1:15" ht="13.5" thickBot="1">
      <c r="C547" s="500" t="s">
        <v>177</v>
      </c>
      <c r="D547" s="501" t="s">
        <v>178</v>
      </c>
      <c r="E547" s="500" t="s">
        <v>37</v>
      </c>
      <c r="F547" s="501" t="s">
        <v>178</v>
      </c>
      <c r="G547" s="932" t="s">
        <v>298</v>
      </c>
      <c r="H547" s="933" t="s">
        <v>300</v>
      </c>
      <c r="I547" s="500" t="s">
        <v>389</v>
      </c>
      <c r="J547" s="504"/>
      <c r="K547" s="932" t="s">
        <v>287</v>
      </c>
      <c r="L547" s="934"/>
      <c r="M547" s="932" t="s">
        <v>300</v>
      </c>
      <c r="N547" s="934"/>
      <c r="O547" s="934"/>
    </row>
    <row r="548" spans="1:15">
      <c r="C548" s="505">
        <f>IF(D542= "","-",D542)</f>
        <v>2016</v>
      </c>
      <c r="D548" s="469">
        <f>+D541</f>
        <v>-42603</v>
      </c>
      <c r="E548" s="935">
        <f>+I545/12*(12-D543)</f>
        <v>-507.17857142857144</v>
      </c>
      <c r="F548" s="469">
        <f t="shared" ref="F548:F607" si="30">+D548-E548</f>
        <v>-42095.821428571428</v>
      </c>
      <c r="G548" s="936">
        <f>+$I$543*((D548+F548)/2)+E548</f>
        <v>-6858.1616121408797</v>
      </c>
      <c r="H548" s="937">
        <f>$I$544*((D548+F548)/2)+E548</f>
        <v>-6858.1616121408797</v>
      </c>
      <c r="I548" s="509">
        <f>+H548-G548</f>
        <v>0</v>
      </c>
      <c r="J548" s="509"/>
      <c r="K548" s="639">
        <v>42109</v>
      </c>
      <c r="L548" s="510"/>
      <c r="M548" s="639">
        <v>42109</v>
      </c>
      <c r="N548" s="510"/>
      <c r="O548" s="510"/>
    </row>
    <row r="549" spans="1:15">
      <c r="C549" s="505">
        <f>IF(D542="","-",+C548+1)</f>
        <v>2017</v>
      </c>
      <c r="D549" s="469">
        <f t="shared" ref="D549:D591" si="31">F548</f>
        <v>-42095.821428571428</v>
      </c>
      <c r="E549" s="942">
        <f>$I$545</f>
        <v>-1014.3571428571429</v>
      </c>
      <c r="F549" s="469">
        <f t="shared" si="30"/>
        <v>-41081.464285714283</v>
      </c>
      <c r="G549" s="935">
        <f t="shared" ref="G549:G607" si="32">+$I$543*((D549+F549)/2)+E549</f>
        <v>-7251.2506678680329</v>
      </c>
      <c r="H549" s="938">
        <f t="shared" ref="H549:H607" si="33">$I$544*((D549+F549)/2)+E549</f>
        <v>-7251.2506678680329</v>
      </c>
      <c r="I549" s="509">
        <f t="shared" ref="I549:I607" si="34">+H549-G549</f>
        <v>0</v>
      </c>
      <c r="J549" s="509"/>
      <c r="K549" s="640">
        <v>41186</v>
      </c>
      <c r="L549" s="514"/>
      <c r="M549" s="640">
        <v>41186</v>
      </c>
      <c r="N549" s="514"/>
      <c r="O549" s="514"/>
    </row>
    <row r="550" spans="1:15">
      <c r="C550" s="940">
        <f>IF(D542="","-",+C549+1)</f>
        <v>2018</v>
      </c>
      <c r="D550" s="941">
        <f t="shared" si="31"/>
        <v>-41081.464285714283</v>
      </c>
      <c r="E550" s="942">
        <f t="shared" ref="E550:E591" si="35">$I$545</f>
        <v>-1014.3571428571429</v>
      </c>
      <c r="F550" s="941">
        <f t="shared" si="30"/>
        <v>-40067.107142857138</v>
      </c>
      <c r="G550" s="943">
        <f t="shared" si="32"/>
        <v>-7099.1313135994742</v>
      </c>
      <c r="H550" s="944">
        <f t="shared" si="33"/>
        <v>-7099.1313135994742</v>
      </c>
      <c r="I550" s="945">
        <f t="shared" si="34"/>
        <v>0</v>
      </c>
      <c r="J550" s="509"/>
      <c r="K550" s="640"/>
      <c r="L550" s="514"/>
      <c r="M550" s="640"/>
      <c r="N550" s="514"/>
      <c r="O550" s="514"/>
    </row>
    <row r="551" spans="1:15">
      <c r="C551" s="505">
        <f>IF(D542="","-",+C550+1)</f>
        <v>2019</v>
      </c>
      <c r="D551" s="941">
        <f t="shared" si="31"/>
        <v>-40067.107142857138</v>
      </c>
      <c r="E551" s="942">
        <f t="shared" si="35"/>
        <v>-1014.3571428571429</v>
      </c>
      <c r="F551" s="469">
        <f t="shared" si="30"/>
        <v>-39052.749999999993</v>
      </c>
      <c r="G551" s="935">
        <f t="shared" si="32"/>
        <v>-6947.0119593309164</v>
      </c>
      <c r="H551" s="938">
        <f t="shared" si="33"/>
        <v>-6947.0119593309164</v>
      </c>
      <c r="I551" s="509">
        <f t="shared" si="34"/>
        <v>0</v>
      </c>
      <c r="J551" s="509"/>
      <c r="K551" s="640"/>
      <c r="L551" s="514"/>
      <c r="M551" s="640"/>
      <c r="N551" s="514"/>
      <c r="O551" s="514"/>
    </row>
    <row r="552" spans="1:15">
      <c r="C552" s="505">
        <f>IF(D542="","-",+C551+1)</f>
        <v>2020</v>
      </c>
      <c r="D552" s="941">
        <f t="shared" si="31"/>
        <v>-39052.749999999993</v>
      </c>
      <c r="E552" s="942">
        <f t="shared" si="35"/>
        <v>-1014.3571428571429</v>
      </c>
      <c r="F552" s="469">
        <f t="shared" si="30"/>
        <v>-38038.392857142848</v>
      </c>
      <c r="G552" s="935">
        <f t="shared" si="32"/>
        <v>-6794.8926050623577</v>
      </c>
      <c r="H552" s="938">
        <f t="shared" si="33"/>
        <v>-6794.8926050623577</v>
      </c>
      <c r="I552" s="509">
        <f t="shared" si="34"/>
        <v>0</v>
      </c>
      <c r="J552" s="509"/>
      <c r="K552" s="640"/>
      <c r="L552" s="514"/>
      <c r="M552" s="640"/>
      <c r="N552" s="514"/>
      <c r="O552" s="514"/>
    </row>
    <row r="553" spans="1:15">
      <c r="C553" s="505">
        <f>IF(D542="","-",+C552+1)</f>
        <v>2021</v>
      </c>
      <c r="D553" s="941">
        <f t="shared" si="31"/>
        <v>-38038.392857142848</v>
      </c>
      <c r="E553" s="942">
        <f t="shared" si="35"/>
        <v>-1014.3571428571429</v>
      </c>
      <c r="F553" s="469">
        <f t="shared" si="30"/>
        <v>-37024.035714285703</v>
      </c>
      <c r="G553" s="935">
        <f t="shared" si="32"/>
        <v>-6642.773250793799</v>
      </c>
      <c r="H553" s="938">
        <f t="shared" si="33"/>
        <v>-6642.773250793799</v>
      </c>
      <c r="I553" s="509">
        <f t="shared" si="34"/>
        <v>0</v>
      </c>
      <c r="J553" s="509"/>
      <c r="K553" s="640"/>
      <c r="L553" s="514"/>
      <c r="M553" s="640"/>
      <c r="N553" s="514"/>
      <c r="O553" s="514"/>
    </row>
    <row r="554" spans="1:15">
      <c r="C554" s="505">
        <f>IF(D542="","-",+C553+1)</f>
        <v>2022</v>
      </c>
      <c r="D554" s="941">
        <f t="shared" si="31"/>
        <v>-37024.035714285703</v>
      </c>
      <c r="E554" s="942">
        <f t="shared" si="35"/>
        <v>-1014.3571428571429</v>
      </c>
      <c r="F554" s="469">
        <f t="shared" si="30"/>
        <v>-36009.678571428558</v>
      </c>
      <c r="G554" s="935">
        <f t="shared" si="32"/>
        <v>-6490.6538965252403</v>
      </c>
      <c r="H554" s="938">
        <f t="shared" si="33"/>
        <v>-6490.6538965252403</v>
      </c>
      <c r="I554" s="509">
        <f t="shared" si="34"/>
        <v>0</v>
      </c>
      <c r="J554" s="509"/>
      <c r="K554" s="640"/>
      <c r="L554" s="514"/>
      <c r="M554" s="640"/>
      <c r="N554" s="514"/>
      <c r="O554" s="514"/>
    </row>
    <row r="555" spans="1:15">
      <c r="C555" s="505">
        <f>IF(D542="","-",+C554+1)</f>
        <v>2023</v>
      </c>
      <c r="D555" s="941">
        <f t="shared" si="31"/>
        <v>-36009.678571428558</v>
      </c>
      <c r="E555" s="942">
        <f t="shared" si="35"/>
        <v>-1014.3571428571429</v>
      </c>
      <c r="F555" s="469">
        <f t="shared" si="30"/>
        <v>-34995.321428571413</v>
      </c>
      <c r="G555" s="935">
        <f t="shared" si="32"/>
        <v>-6338.5345422566816</v>
      </c>
      <c r="H555" s="938">
        <f t="shared" si="33"/>
        <v>-6338.5345422566816</v>
      </c>
      <c r="I555" s="509">
        <f t="shared" si="34"/>
        <v>0</v>
      </c>
      <c r="J555" s="509"/>
      <c r="K555" s="640"/>
      <c r="L555" s="514"/>
      <c r="M555" s="640"/>
      <c r="N555" s="514"/>
      <c r="O555" s="514"/>
    </row>
    <row r="556" spans="1:15">
      <c r="C556" s="505">
        <f>IF(D542="","-",+C555+1)</f>
        <v>2024</v>
      </c>
      <c r="D556" s="941">
        <f t="shared" si="31"/>
        <v>-34995.321428571413</v>
      </c>
      <c r="E556" s="942">
        <f t="shared" si="35"/>
        <v>-1014.3571428571429</v>
      </c>
      <c r="F556" s="469">
        <f t="shared" si="30"/>
        <v>-33980.964285714268</v>
      </c>
      <c r="G556" s="935">
        <f t="shared" si="32"/>
        <v>-6186.4151879881229</v>
      </c>
      <c r="H556" s="938">
        <f t="shared" si="33"/>
        <v>-6186.4151879881229</v>
      </c>
      <c r="I556" s="509">
        <f t="shared" si="34"/>
        <v>0</v>
      </c>
      <c r="J556" s="509"/>
      <c r="K556" s="640"/>
      <c r="L556" s="514"/>
      <c r="M556" s="640"/>
      <c r="N556" s="514"/>
      <c r="O556" s="514"/>
    </row>
    <row r="557" spans="1:15">
      <c r="C557" s="505">
        <f>IF(D542="","-",+C556+1)</f>
        <v>2025</v>
      </c>
      <c r="D557" s="941">
        <f t="shared" si="31"/>
        <v>-33980.964285714268</v>
      </c>
      <c r="E557" s="942">
        <f t="shared" si="35"/>
        <v>-1014.3571428571429</v>
      </c>
      <c r="F557" s="469">
        <f t="shared" si="30"/>
        <v>-32966.607142857123</v>
      </c>
      <c r="G557" s="935">
        <f t="shared" si="32"/>
        <v>-6034.2958337195641</v>
      </c>
      <c r="H557" s="938">
        <f t="shared" si="33"/>
        <v>-6034.2958337195641</v>
      </c>
      <c r="I557" s="509">
        <f t="shared" si="34"/>
        <v>0</v>
      </c>
      <c r="J557" s="509"/>
      <c r="K557" s="640"/>
      <c r="L557" s="514"/>
      <c r="M557" s="640"/>
      <c r="N557" s="514"/>
      <c r="O557" s="514"/>
    </row>
    <row r="558" spans="1:15">
      <c r="C558" s="505">
        <f>IF(D542="","-",+C557+1)</f>
        <v>2026</v>
      </c>
      <c r="D558" s="941">
        <f t="shared" si="31"/>
        <v>-32966.607142857123</v>
      </c>
      <c r="E558" s="942">
        <f t="shared" si="35"/>
        <v>-1014.3571428571429</v>
      </c>
      <c r="F558" s="469">
        <f t="shared" si="30"/>
        <v>-31952.249999999982</v>
      </c>
      <c r="G558" s="935">
        <f t="shared" si="32"/>
        <v>-5882.1764794510054</v>
      </c>
      <c r="H558" s="938">
        <f t="shared" si="33"/>
        <v>-5882.1764794510054</v>
      </c>
      <c r="I558" s="509">
        <f t="shared" si="34"/>
        <v>0</v>
      </c>
      <c r="J558" s="509"/>
      <c r="K558" s="640"/>
      <c r="L558" s="514"/>
      <c r="M558" s="640"/>
      <c r="N558" s="514"/>
      <c r="O558" s="514"/>
    </row>
    <row r="559" spans="1:15">
      <c r="C559" s="505">
        <f>IF(D542="","-",+C558+1)</f>
        <v>2027</v>
      </c>
      <c r="D559" s="941">
        <f t="shared" si="31"/>
        <v>-31952.249999999982</v>
      </c>
      <c r="E559" s="942">
        <f t="shared" si="35"/>
        <v>-1014.3571428571429</v>
      </c>
      <c r="F559" s="469">
        <f t="shared" si="30"/>
        <v>-30937.892857142841</v>
      </c>
      <c r="G559" s="935">
        <f t="shared" si="32"/>
        <v>-5730.0571251824485</v>
      </c>
      <c r="H559" s="938">
        <f t="shared" si="33"/>
        <v>-5730.0571251824485</v>
      </c>
      <c r="I559" s="509">
        <f t="shared" si="34"/>
        <v>0</v>
      </c>
      <c r="J559" s="509"/>
      <c r="K559" s="640"/>
      <c r="L559" s="514"/>
      <c r="M559" s="640"/>
      <c r="N559" s="514"/>
      <c r="O559" s="514"/>
    </row>
    <row r="560" spans="1:15">
      <c r="C560" s="505">
        <f>IF(D542="","-",+C559+1)</f>
        <v>2028</v>
      </c>
      <c r="D560" s="941">
        <f t="shared" si="31"/>
        <v>-30937.892857142841</v>
      </c>
      <c r="E560" s="942">
        <f t="shared" si="35"/>
        <v>-1014.3571428571429</v>
      </c>
      <c r="F560" s="469">
        <f t="shared" si="30"/>
        <v>-29923.535714285699</v>
      </c>
      <c r="G560" s="935">
        <f t="shared" si="32"/>
        <v>-5577.9377709138898</v>
      </c>
      <c r="H560" s="938">
        <f t="shared" si="33"/>
        <v>-5577.9377709138898</v>
      </c>
      <c r="I560" s="509">
        <f t="shared" si="34"/>
        <v>0</v>
      </c>
      <c r="J560" s="509"/>
      <c r="K560" s="640"/>
      <c r="L560" s="514"/>
      <c r="M560" s="640"/>
      <c r="N560" s="514"/>
      <c r="O560" s="514"/>
    </row>
    <row r="561" spans="3:15">
      <c r="C561" s="505">
        <f>IF(D542="","-",+C560+1)</f>
        <v>2029</v>
      </c>
      <c r="D561" s="941">
        <f t="shared" si="31"/>
        <v>-29923.535714285699</v>
      </c>
      <c r="E561" s="942">
        <f t="shared" si="35"/>
        <v>-1014.3571428571429</v>
      </c>
      <c r="F561" s="469">
        <f t="shared" si="30"/>
        <v>-28909.178571428558</v>
      </c>
      <c r="G561" s="935">
        <f t="shared" si="32"/>
        <v>-5425.818416645332</v>
      </c>
      <c r="H561" s="938">
        <f t="shared" si="33"/>
        <v>-5425.818416645332</v>
      </c>
      <c r="I561" s="509">
        <f t="shared" si="34"/>
        <v>0</v>
      </c>
      <c r="J561" s="509"/>
      <c r="K561" s="640"/>
      <c r="L561" s="514"/>
      <c r="M561" s="640"/>
      <c r="N561" s="514"/>
      <c r="O561" s="514"/>
    </row>
    <row r="562" spans="3:15">
      <c r="C562" s="505">
        <f>IF(D542="","-",+C561+1)</f>
        <v>2030</v>
      </c>
      <c r="D562" s="941">
        <f t="shared" si="31"/>
        <v>-28909.178571428558</v>
      </c>
      <c r="E562" s="942">
        <f t="shared" si="35"/>
        <v>-1014.3571428571429</v>
      </c>
      <c r="F562" s="469">
        <f t="shared" si="30"/>
        <v>-27894.821428571417</v>
      </c>
      <c r="G562" s="935">
        <f t="shared" si="32"/>
        <v>-5273.6990623767733</v>
      </c>
      <c r="H562" s="938">
        <f t="shared" si="33"/>
        <v>-5273.6990623767733</v>
      </c>
      <c r="I562" s="509">
        <f t="shared" si="34"/>
        <v>0</v>
      </c>
      <c r="J562" s="509"/>
      <c r="K562" s="640"/>
      <c r="L562" s="514"/>
      <c r="M562" s="640"/>
      <c r="N562" s="514"/>
      <c r="O562" s="514"/>
    </row>
    <row r="563" spans="3:15">
      <c r="C563" s="505">
        <f>IF(D542="","-",+C562+1)</f>
        <v>2031</v>
      </c>
      <c r="D563" s="941">
        <f t="shared" si="31"/>
        <v>-27894.821428571417</v>
      </c>
      <c r="E563" s="942">
        <f t="shared" si="35"/>
        <v>-1014.3571428571429</v>
      </c>
      <c r="F563" s="469">
        <f t="shared" si="30"/>
        <v>-26880.464285714275</v>
      </c>
      <c r="G563" s="935">
        <f t="shared" si="32"/>
        <v>-5121.5797081082155</v>
      </c>
      <c r="H563" s="938">
        <f t="shared" si="33"/>
        <v>-5121.5797081082155</v>
      </c>
      <c r="I563" s="509">
        <f t="shared" si="34"/>
        <v>0</v>
      </c>
      <c r="J563" s="509"/>
      <c r="K563" s="640"/>
      <c r="L563" s="514"/>
      <c r="M563" s="640"/>
      <c r="N563" s="514"/>
      <c r="O563" s="514"/>
    </row>
    <row r="564" spans="3:15">
      <c r="C564" s="505">
        <f>IF(D542="","-",+C563+1)</f>
        <v>2032</v>
      </c>
      <c r="D564" s="941">
        <f t="shared" si="31"/>
        <v>-26880.464285714275</v>
      </c>
      <c r="E564" s="942">
        <f t="shared" si="35"/>
        <v>-1014.3571428571429</v>
      </c>
      <c r="F564" s="469">
        <f t="shared" si="30"/>
        <v>-25866.107142857134</v>
      </c>
      <c r="G564" s="935">
        <f t="shared" si="32"/>
        <v>-4969.4603538396568</v>
      </c>
      <c r="H564" s="938">
        <f t="shared" si="33"/>
        <v>-4969.4603538396568</v>
      </c>
      <c r="I564" s="509">
        <f t="shared" si="34"/>
        <v>0</v>
      </c>
      <c r="J564" s="509"/>
      <c r="K564" s="640"/>
      <c r="L564" s="514"/>
      <c r="M564" s="640"/>
      <c r="N564" s="514"/>
      <c r="O564" s="514"/>
    </row>
    <row r="565" spans="3:15">
      <c r="C565" s="505">
        <f>IF(D542="","-",+C564+1)</f>
        <v>2033</v>
      </c>
      <c r="D565" s="941">
        <f t="shared" si="31"/>
        <v>-25866.107142857134</v>
      </c>
      <c r="E565" s="942">
        <f t="shared" si="35"/>
        <v>-1014.3571428571429</v>
      </c>
      <c r="F565" s="469">
        <f t="shared" si="30"/>
        <v>-24851.749999999993</v>
      </c>
      <c r="G565" s="935">
        <f t="shared" si="32"/>
        <v>-4817.3409995710999</v>
      </c>
      <c r="H565" s="938">
        <f t="shared" si="33"/>
        <v>-4817.3409995710999</v>
      </c>
      <c r="I565" s="509">
        <f t="shared" si="34"/>
        <v>0</v>
      </c>
      <c r="J565" s="509"/>
      <c r="K565" s="640"/>
      <c r="L565" s="514"/>
      <c r="M565" s="640"/>
      <c r="N565" s="514"/>
      <c r="O565" s="514"/>
    </row>
    <row r="566" spans="3:15">
      <c r="C566" s="505">
        <f>IF(D542="","-",+C565+1)</f>
        <v>2034</v>
      </c>
      <c r="D566" s="941">
        <f t="shared" si="31"/>
        <v>-24851.749999999993</v>
      </c>
      <c r="E566" s="942">
        <f t="shared" si="35"/>
        <v>-1014.3571428571429</v>
      </c>
      <c r="F566" s="469">
        <f t="shared" si="30"/>
        <v>-23837.392857142851</v>
      </c>
      <c r="G566" s="935">
        <f t="shared" si="32"/>
        <v>-4665.2216453025412</v>
      </c>
      <c r="H566" s="938">
        <f t="shared" si="33"/>
        <v>-4665.2216453025412</v>
      </c>
      <c r="I566" s="509">
        <f t="shared" si="34"/>
        <v>0</v>
      </c>
      <c r="J566" s="509"/>
      <c r="K566" s="640"/>
      <c r="L566" s="514"/>
      <c r="M566" s="640"/>
      <c r="N566" s="514"/>
      <c r="O566" s="514"/>
    </row>
    <row r="567" spans="3:15">
      <c r="C567" s="505">
        <f>IF(D542="","-",+C566+1)</f>
        <v>2035</v>
      </c>
      <c r="D567" s="941">
        <f t="shared" si="31"/>
        <v>-23837.392857142851</v>
      </c>
      <c r="E567" s="942">
        <f t="shared" si="35"/>
        <v>-1014.3571428571429</v>
      </c>
      <c r="F567" s="469">
        <f t="shared" si="30"/>
        <v>-22823.03571428571</v>
      </c>
      <c r="G567" s="935">
        <f t="shared" si="32"/>
        <v>-4513.1022910339834</v>
      </c>
      <c r="H567" s="938">
        <f t="shared" si="33"/>
        <v>-4513.1022910339834</v>
      </c>
      <c r="I567" s="509">
        <f t="shared" si="34"/>
        <v>0</v>
      </c>
      <c r="J567" s="509"/>
      <c r="K567" s="640"/>
      <c r="L567" s="514"/>
      <c r="M567" s="640"/>
      <c r="N567" s="514"/>
      <c r="O567" s="514"/>
    </row>
    <row r="568" spans="3:15">
      <c r="C568" s="505">
        <f>IF(D542="","-",+C567+1)</f>
        <v>2036</v>
      </c>
      <c r="D568" s="941">
        <f t="shared" si="31"/>
        <v>-22823.03571428571</v>
      </c>
      <c r="E568" s="942">
        <f t="shared" si="35"/>
        <v>-1014.3571428571429</v>
      </c>
      <c r="F568" s="469">
        <f t="shared" si="30"/>
        <v>-21808.678571428569</v>
      </c>
      <c r="G568" s="935">
        <f t="shared" si="32"/>
        <v>-4360.9829367654247</v>
      </c>
      <c r="H568" s="938">
        <f t="shared" si="33"/>
        <v>-4360.9829367654247</v>
      </c>
      <c r="I568" s="509">
        <f t="shared" si="34"/>
        <v>0</v>
      </c>
      <c r="J568" s="509"/>
      <c r="K568" s="640"/>
      <c r="L568" s="514"/>
      <c r="M568" s="640"/>
      <c r="N568" s="514"/>
      <c r="O568" s="514"/>
    </row>
    <row r="569" spans="3:15">
      <c r="C569" s="505">
        <f>IF(D542="","-",+C568+1)</f>
        <v>2037</v>
      </c>
      <c r="D569" s="941">
        <f t="shared" si="31"/>
        <v>-21808.678571428569</v>
      </c>
      <c r="E569" s="942">
        <f t="shared" si="35"/>
        <v>-1014.3571428571429</v>
      </c>
      <c r="F569" s="469">
        <f t="shared" si="30"/>
        <v>-20794.321428571428</v>
      </c>
      <c r="G569" s="935">
        <f t="shared" si="32"/>
        <v>-4208.8635824968669</v>
      </c>
      <c r="H569" s="938">
        <f t="shared" si="33"/>
        <v>-4208.8635824968669</v>
      </c>
      <c r="I569" s="509">
        <f t="shared" si="34"/>
        <v>0</v>
      </c>
      <c r="J569" s="509"/>
      <c r="K569" s="640"/>
      <c r="L569" s="514"/>
      <c r="M569" s="640"/>
      <c r="N569" s="514"/>
      <c r="O569" s="514"/>
    </row>
    <row r="570" spans="3:15">
      <c r="C570" s="505">
        <f>IF(D542="","-",+C569+1)</f>
        <v>2038</v>
      </c>
      <c r="D570" s="941">
        <f t="shared" si="31"/>
        <v>-20794.321428571428</v>
      </c>
      <c r="E570" s="942">
        <f t="shared" si="35"/>
        <v>-1014.3571428571429</v>
      </c>
      <c r="F570" s="469">
        <f t="shared" si="30"/>
        <v>-19779.964285714286</v>
      </c>
      <c r="G570" s="935">
        <f t="shared" si="32"/>
        <v>-4056.7442282283082</v>
      </c>
      <c r="H570" s="938">
        <f t="shared" si="33"/>
        <v>-4056.7442282283082</v>
      </c>
      <c r="I570" s="509">
        <f t="shared" si="34"/>
        <v>0</v>
      </c>
      <c r="J570" s="509"/>
      <c r="K570" s="640"/>
      <c r="L570" s="514"/>
      <c r="M570" s="640"/>
      <c r="N570" s="514"/>
      <c r="O570" s="514"/>
    </row>
    <row r="571" spans="3:15">
      <c r="C571" s="505">
        <f>IF(D542="","-",+C570+1)</f>
        <v>2039</v>
      </c>
      <c r="D571" s="941">
        <f t="shared" si="31"/>
        <v>-19779.964285714286</v>
      </c>
      <c r="E571" s="942">
        <f t="shared" si="35"/>
        <v>-1014.3571428571429</v>
      </c>
      <c r="F571" s="469">
        <f t="shared" si="30"/>
        <v>-18765.607142857145</v>
      </c>
      <c r="G571" s="935">
        <f t="shared" si="32"/>
        <v>-3904.6248739597513</v>
      </c>
      <c r="H571" s="938">
        <f t="shared" si="33"/>
        <v>-3904.6248739597513</v>
      </c>
      <c r="I571" s="509">
        <f t="shared" si="34"/>
        <v>0</v>
      </c>
      <c r="J571" s="509"/>
      <c r="K571" s="640"/>
      <c r="L571" s="514"/>
      <c r="M571" s="640"/>
      <c r="N571" s="514"/>
      <c r="O571" s="514"/>
    </row>
    <row r="572" spans="3:15">
      <c r="C572" s="505">
        <f>IF(D542="","-",+C571+1)</f>
        <v>2040</v>
      </c>
      <c r="D572" s="941">
        <f t="shared" si="31"/>
        <v>-18765.607142857145</v>
      </c>
      <c r="E572" s="942">
        <f t="shared" si="35"/>
        <v>-1014.3571428571429</v>
      </c>
      <c r="F572" s="469">
        <f t="shared" si="30"/>
        <v>-17751.250000000004</v>
      </c>
      <c r="G572" s="935">
        <f t="shared" si="32"/>
        <v>-3752.5055196911926</v>
      </c>
      <c r="H572" s="938">
        <f t="shared" si="33"/>
        <v>-3752.5055196911926</v>
      </c>
      <c r="I572" s="509">
        <f t="shared" si="34"/>
        <v>0</v>
      </c>
      <c r="J572" s="509"/>
      <c r="K572" s="640"/>
      <c r="L572" s="514"/>
      <c r="M572" s="640"/>
      <c r="N572" s="514"/>
      <c r="O572" s="514"/>
    </row>
    <row r="573" spans="3:15">
      <c r="C573" s="505">
        <f>IF(D542="","-",+C572+1)</f>
        <v>2041</v>
      </c>
      <c r="D573" s="941">
        <f t="shared" si="31"/>
        <v>-17751.250000000004</v>
      </c>
      <c r="E573" s="942">
        <f t="shared" si="35"/>
        <v>-1014.3571428571429</v>
      </c>
      <c r="F573" s="469">
        <f t="shared" si="30"/>
        <v>-16736.892857142862</v>
      </c>
      <c r="G573" s="935">
        <f t="shared" si="32"/>
        <v>-3600.3861654226348</v>
      </c>
      <c r="H573" s="938">
        <f t="shared" si="33"/>
        <v>-3600.3861654226348</v>
      </c>
      <c r="I573" s="509">
        <f t="shared" si="34"/>
        <v>0</v>
      </c>
      <c r="J573" s="509"/>
      <c r="K573" s="640"/>
      <c r="L573" s="514"/>
      <c r="M573" s="640"/>
      <c r="N573" s="514"/>
      <c r="O573" s="514"/>
    </row>
    <row r="574" spans="3:15">
      <c r="C574" s="505">
        <f>IF(D542="","-",+C573+1)</f>
        <v>2042</v>
      </c>
      <c r="D574" s="941">
        <f t="shared" si="31"/>
        <v>-16736.892857142862</v>
      </c>
      <c r="E574" s="942">
        <f t="shared" si="35"/>
        <v>-1014.3571428571429</v>
      </c>
      <c r="F574" s="469">
        <f t="shared" si="30"/>
        <v>-15722.535714285719</v>
      </c>
      <c r="G574" s="935">
        <f t="shared" si="32"/>
        <v>-3448.2668111540761</v>
      </c>
      <c r="H574" s="938">
        <f t="shared" si="33"/>
        <v>-3448.2668111540761</v>
      </c>
      <c r="I574" s="509">
        <f t="shared" si="34"/>
        <v>0</v>
      </c>
      <c r="J574" s="509"/>
      <c r="K574" s="640"/>
      <c r="L574" s="514"/>
      <c r="M574" s="640"/>
      <c r="N574" s="514"/>
      <c r="O574" s="514"/>
    </row>
    <row r="575" spans="3:15">
      <c r="C575" s="505">
        <f>IF(D542="","-",+C574+1)</f>
        <v>2043</v>
      </c>
      <c r="D575" s="941">
        <f t="shared" si="31"/>
        <v>-15722.535714285719</v>
      </c>
      <c r="E575" s="942">
        <f t="shared" si="35"/>
        <v>-1014.3571428571429</v>
      </c>
      <c r="F575" s="469">
        <f t="shared" si="30"/>
        <v>-14708.178571428576</v>
      </c>
      <c r="G575" s="935">
        <f t="shared" si="32"/>
        <v>-3296.1474568855183</v>
      </c>
      <c r="H575" s="938">
        <f t="shared" si="33"/>
        <v>-3296.1474568855183</v>
      </c>
      <c r="I575" s="509">
        <f t="shared" si="34"/>
        <v>0</v>
      </c>
      <c r="J575" s="509"/>
      <c r="K575" s="640"/>
      <c r="L575" s="514"/>
      <c r="M575" s="640"/>
      <c r="N575" s="514"/>
      <c r="O575" s="514"/>
    </row>
    <row r="576" spans="3:15">
      <c r="C576" s="505">
        <f>IF(D542="","-",+C575+1)</f>
        <v>2044</v>
      </c>
      <c r="D576" s="941">
        <f t="shared" si="31"/>
        <v>-14708.178571428576</v>
      </c>
      <c r="E576" s="942">
        <f t="shared" si="35"/>
        <v>-1014.3571428571429</v>
      </c>
      <c r="F576" s="469">
        <f t="shared" si="30"/>
        <v>-13693.821428571433</v>
      </c>
      <c r="G576" s="936">
        <f t="shared" si="32"/>
        <v>-3144.0281026169596</v>
      </c>
      <c r="H576" s="938">
        <f t="shared" si="33"/>
        <v>-3144.0281026169596</v>
      </c>
      <c r="I576" s="509">
        <f t="shared" si="34"/>
        <v>0</v>
      </c>
      <c r="J576" s="509"/>
      <c r="K576" s="640"/>
      <c r="L576" s="514"/>
      <c r="M576" s="640"/>
      <c r="N576" s="514"/>
      <c r="O576" s="514"/>
    </row>
    <row r="577" spans="3:15">
      <c r="C577" s="505">
        <f>IF(D542="","-",+C576+1)</f>
        <v>2045</v>
      </c>
      <c r="D577" s="941">
        <f t="shared" si="31"/>
        <v>-13693.821428571433</v>
      </c>
      <c r="E577" s="942">
        <f t="shared" si="35"/>
        <v>-1014.3571428571429</v>
      </c>
      <c r="F577" s="469">
        <f t="shared" si="30"/>
        <v>-12679.46428571429</v>
      </c>
      <c r="G577" s="935">
        <f t="shared" si="32"/>
        <v>-2991.9087483484018</v>
      </c>
      <c r="H577" s="938">
        <f t="shared" si="33"/>
        <v>-2991.9087483484018</v>
      </c>
      <c r="I577" s="509">
        <f t="shared" si="34"/>
        <v>0</v>
      </c>
      <c r="J577" s="509"/>
      <c r="K577" s="640"/>
      <c r="L577" s="514"/>
      <c r="M577" s="640"/>
      <c r="N577" s="514"/>
      <c r="O577" s="514"/>
    </row>
    <row r="578" spans="3:15">
      <c r="C578" s="505">
        <f>IF(D542="","-",+C577+1)</f>
        <v>2046</v>
      </c>
      <c r="D578" s="941">
        <f t="shared" si="31"/>
        <v>-12679.46428571429</v>
      </c>
      <c r="E578" s="942">
        <f t="shared" si="35"/>
        <v>-1014.3571428571429</v>
      </c>
      <c r="F578" s="469">
        <f t="shared" si="30"/>
        <v>-11665.107142857147</v>
      </c>
      <c r="G578" s="935">
        <f t="shared" si="32"/>
        <v>-2839.7893940798431</v>
      </c>
      <c r="H578" s="938">
        <f t="shared" si="33"/>
        <v>-2839.7893940798431</v>
      </c>
      <c r="I578" s="509">
        <f t="shared" si="34"/>
        <v>0</v>
      </c>
      <c r="J578" s="509"/>
      <c r="K578" s="640"/>
      <c r="L578" s="514"/>
      <c r="M578" s="640"/>
      <c r="N578" s="514"/>
      <c r="O578" s="514"/>
    </row>
    <row r="579" spans="3:15">
      <c r="C579" s="505">
        <f>IF(D542="","-",+C578+1)</f>
        <v>2047</v>
      </c>
      <c r="D579" s="941">
        <f t="shared" si="31"/>
        <v>-11665.107142857147</v>
      </c>
      <c r="E579" s="942">
        <f t="shared" si="35"/>
        <v>-1014.3571428571429</v>
      </c>
      <c r="F579" s="469">
        <f t="shared" si="30"/>
        <v>-10650.750000000004</v>
      </c>
      <c r="G579" s="935">
        <f t="shared" si="32"/>
        <v>-2687.6700398112848</v>
      </c>
      <c r="H579" s="938">
        <f t="shared" si="33"/>
        <v>-2687.6700398112848</v>
      </c>
      <c r="I579" s="509">
        <f t="shared" si="34"/>
        <v>0</v>
      </c>
      <c r="J579" s="509"/>
      <c r="K579" s="640"/>
      <c r="L579" s="514"/>
      <c r="M579" s="640"/>
      <c r="N579" s="514"/>
      <c r="O579" s="514"/>
    </row>
    <row r="580" spans="3:15">
      <c r="C580" s="505">
        <f>IF(D542="","-",+C579+1)</f>
        <v>2048</v>
      </c>
      <c r="D580" s="941">
        <f t="shared" si="31"/>
        <v>-10650.750000000004</v>
      </c>
      <c r="E580" s="942">
        <f t="shared" si="35"/>
        <v>-1014.3571428571429</v>
      </c>
      <c r="F580" s="469">
        <f t="shared" si="30"/>
        <v>-9636.3928571428605</v>
      </c>
      <c r="G580" s="935">
        <f t="shared" si="32"/>
        <v>-2535.5506855427266</v>
      </c>
      <c r="H580" s="938">
        <f t="shared" si="33"/>
        <v>-2535.5506855427266</v>
      </c>
      <c r="I580" s="509">
        <f t="shared" si="34"/>
        <v>0</v>
      </c>
      <c r="J580" s="509"/>
      <c r="K580" s="640"/>
      <c r="L580" s="514"/>
      <c r="M580" s="640"/>
      <c r="N580" s="514"/>
      <c r="O580" s="514"/>
    </row>
    <row r="581" spans="3:15">
      <c r="C581" s="505">
        <f>IF(D542="","-",+C580+1)</f>
        <v>2049</v>
      </c>
      <c r="D581" s="941">
        <f t="shared" si="31"/>
        <v>-9636.3928571428605</v>
      </c>
      <c r="E581" s="942">
        <f t="shared" si="35"/>
        <v>-1014.3571428571429</v>
      </c>
      <c r="F581" s="469">
        <f t="shared" si="30"/>
        <v>-8622.0357142857174</v>
      </c>
      <c r="G581" s="935">
        <f t="shared" si="32"/>
        <v>-2383.4313312741683</v>
      </c>
      <c r="H581" s="938">
        <f t="shared" si="33"/>
        <v>-2383.4313312741683</v>
      </c>
      <c r="I581" s="509">
        <f t="shared" si="34"/>
        <v>0</v>
      </c>
      <c r="J581" s="509"/>
      <c r="K581" s="640"/>
      <c r="L581" s="514"/>
      <c r="M581" s="640"/>
      <c r="N581" s="514"/>
      <c r="O581" s="514"/>
    </row>
    <row r="582" spans="3:15">
      <c r="C582" s="505">
        <f>IF(D542="","-",+C581+1)</f>
        <v>2050</v>
      </c>
      <c r="D582" s="941">
        <f t="shared" si="31"/>
        <v>-8622.0357142857174</v>
      </c>
      <c r="E582" s="942">
        <f t="shared" si="35"/>
        <v>-1014.3571428571429</v>
      </c>
      <c r="F582" s="469">
        <f t="shared" si="30"/>
        <v>-7607.6785714285743</v>
      </c>
      <c r="G582" s="935">
        <f t="shared" si="32"/>
        <v>-2231.3119770056101</v>
      </c>
      <c r="H582" s="938">
        <f t="shared" si="33"/>
        <v>-2231.3119770056101</v>
      </c>
      <c r="I582" s="509">
        <f t="shared" si="34"/>
        <v>0</v>
      </c>
      <c r="J582" s="509"/>
      <c r="K582" s="640"/>
      <c r="L582" s="514"/>
      <c r="M582" s="640"/>
      <c r="N582" s="514"/>
      <c r="O582" s="514"/>
    </row>
    <row r="583" spans="3:15">
      <c r="C583" s="505">
        <f>IF(D542="","-",+C582+1)</f>
        <v>2051</v>
      </c>
      <c r="D583" s="941">
        <f t="shared" si="31"/>
        <v>-7607.6785714285743</v>
      </c>
      <c r="E583" s="942">
        <f t="shared" si="35"/>
        <v>-1014.3571428571429</v>
      </c>
      <c r="F583" s="469">
        <f t="shared" si="30"/>
        <v>-6593.3214285714312</v>
      </c>
      <c r="G583" s="935">
        <f t="shared" si="32"/>
        <v>-2079.1926227370514</v>
      </c>
      <c r="H583" s="938">
        <f t="shared" si="33"/>
        <v>-2079.1926227370514</v>
      </c>
      <c r="I583" s="509">
        <f t="shared" si="34"/>
        <v>0</v>
      </c>
      <c r="J583" s="509"/>
      <c r="K583" s="640"/>
      <c r="L583" s="514"/>
      <c r="M583" s="640"/>
      <c r="N583" s="514"/>
      <c r="O583" s="514"/>
    </row>
    <row r="584" spans="3:15">
      <c r="C584" s="505">
        <f>IF(D542="","-",+C583+1)</f>
        <v>2052</v>
      </c>
      <c r="D584" s="941">
        <f t="shared" si="31"/>
        <v>-6593.3214285714312</v>
      </c>
      <c r="E584" s="942">
        <f t="shared" si="35"/>
        <v>-1014.3571428571429</v>
      </c>
      <c r="F584" s="469">
        <f t="shared" si="30"/>
        <v>-5578.9642857142881</v>
      </c>
      <c r="G584" s="935">
        <f t="shared" si="32"/>
        <v>-1927.0732684684931</v>
      </c>
      <c r="H584" s="938">
        <f t="shared" si="33"/>
        <v>-1927.0732684684931</v>
      </c>
      <c r="I584" s="509">
        <f t="shared" si="34"/>
        <v>0</v>
      </c>
      <c r="J584" s="509"/>
      <c r="K584" s="640"/>
      <c r="L584" s="514"/>
      <c r="M584" s="640"/>
      <c r="N584" s="514"/>
      <c r="O584" s="514"/>
    </row>
    <row r="585" spans="3:15">
      <c r="C585" s="505">
        <f>IF(D542="","-",+C584+1)</f>
        <v>2053</v>
      </c>
      <c r="D585" s="941">
        <f t="shared" si="31"/>
        <v>-5578.9642857142881</v>
      </c>
      <c r="E585" s="942">
        <f t="shared" si="35"/>
        <v>-1014.3571428571429</v>
      </c>
      <c r="F585" s="469">
        <f t="shared" si="30"/>
        <v>-4564.6071428571449</v>
      </c>
      <c r="G585" s="935">
        <f t="shared" si="32"/>
        <v>-1774.9539141999348</v>
      </c>
      <c r="H585" s="938">
        <f t="shared" si="33"/>
        <v>-1774.9539141999348</v>
      </c>
      <c r="I585" s="509">
        <f t="shared" si="34"/>
        <v>0</v>
      </c>
      <c r="J585" s="509"/>
      <c r="K585" s="640"/>
      <c r="L585" s="514"/>
      <c r="M585" s="640"/>
      <c r="N585" s="514"/>
      <c r="O585" s="514"/>
    </row>
    <row r="586" spans="3:15">
      <c r="C586" s="505">
        <f>IF(D542="","-",+C585+1)</f>
        <v>2054</v>
      </c>
      <c r="D586" s="941">
        <f t="shared" si="31"/>
        <v>-4564.6071428571449</v>
      </c>
      <c r="E586" s="942">
        <f t="shared" si="35"/>
        <v>-1014.3571428571429</v>
      </c>
      <c r="F586" s="469">
        <f t="shared" si="30"/>
        <v>-3550.2500000000018</v>
      </c>
      <c r="G586" s="935">
        <f t="shared" si="32"/>
        <v>-1622.8345599313764</v>
      </c>
      <c r="H586" s="938">
        <f t="shared" si="33"/>
        <v>-1622.8345599313764</v>
      </c>
      <c r="I586" s="509">
        <f t="shared" si="34"/>
        <v>0</v>
      </c>
      <c r="J586" s="509"/>
      <c r="K586" s="640"/>
      <c r="L586" s="514"/>
      <c r="M586" s="640"/>
      <c r="N586" s="514"/>
      <c r="O586" s="514"/>
    </row>
    <row r="587" spans="3:15">
      <c r="C587" s="505">
        <f>IF(D542="","-",+C586+1)</f>
        <v>2055</v>
      </c>
      <c r="D587" s="941">
        <f t="shared" si="31"/>
        <v>-3550.2500000000018</v>
      </c>
      <c r="E587" s="942">
        <f t="shared" si="35"/>
        <v>-1014.3571428571429</v>
      </c>
      <c r="F587" s="469">
        <f t="shared" si="30"/>
        <v>-2535.8928571428587</v>
      </c>
      <c r="G587" s="935">
        <f t="shared" si="32"/>
        <v>-1470.7152056628181</v>
      </c>
      <c r="H587" s="938">
        <f t="shared" si="33"/>
        <v>-1470.7152056628181</v>
      </c>
      <c r="I587" s="509">
        <f t="shared" si="34"/>
        <v>0</v>
      </c>
      <c r="J587" s="509"/>
      <c r="K587" s="640"/>
      <c r="L587" s="514"/>
      <c r="M587" s="640"/>
      <c r="N587" s="514"/>
      <c r="O587" s="514"/>
    </row>
    <row r="588" spans="3:15">
      <c r="C588" s="505">
        <f>IF(D542="","-",+C587+1)</f>
        <v>2056</v>
      </c>
      <c r="D588" s="941">
        <f t="shared" si="31"/>
        <v>-2535.8928571428587</v>
      </c>
      <c r="E588" s="942">
        <f t="shared" si="35"/>
        <v>-1014.3571428571429</v>
      </c>
      <c r="F588" s="469">
        <f t="shared" si="30"/>
        <v>-1521.5357142857158</v>
      </c>
      <c r="G588" s="935">
        <f t="shared" si="32"/>
        <v>-1318.5958513942596</v>
      </c>
      <c r="H588" s="938">
        <f t="shared" si="33"/>
        <v>-1318.5958513942596</v>
      </c>
      <c r="I588" s="509">
        <f t="shared" si="34"/>
        <v>0</v>
      </c>
      <c r="J588" s="509"/>
      <c r="K588" s="640"/>
      <c r="L588" s="514"/>
      <c r="M588" s="640"/>
      <c r="N588" s="514"/>
      <c r="O588" s="514"/>
    </row>
    <row r="589" spans="3:15">
      <c r="C589" s="505">
        <f>IF(D542="","-",+C588+1)</f>
        <v>2057</v>
      </c>
      <c r="D589" s="941">
        <f t="shared" si="31"/>
        <v>-1521.5357142857158</v>
      </c>
      <c r="E589" s="942">
        <f t="shared" si="35"/>
        <v>-1014.3571428571429</v>
      </c>
      <c r="F589" s="469">
        <f t="shared" si="30"/>
        <v>-507.17857142857292</v>
      </c>
      <c r="G589" s="935">
        <f t="shared" si="32"/>
        <v>-1166.4764971257014</v>
      </c>
      <c r="H589" s="938">
        <f t="shared" si="33"/>
        <v>-1166.4764971257014</v>
      </c>
      <c r="I589" s="509">
        <f t="shared" si="34"/>
        <v>0</v>
      </c>
      <c r="J589" s="509"/>
      <c r="K589" s="640"/>
      <c r="L589" s="514"/>
      <c r="M589" s="640"/>
      <c r="N589" s="514"/>
      <c r="O589" s="514"/>
    </row>
    <row r="590" spans="3:15">
      <c r="C590" s="505">
        <f>IF(D542="","-",+C589+1)</f>
        <v>2058</v>
      </c>
      <c r="D590" s="941">
        <f t="shared" si="31"/>
        <v>-507.17857142857292</v>
      </c>
      <c r="E590" s="942">
        <f t="shared" si="35"/>
        <v>-1014.3571428571429</v>
      </c>
      <c r="F590" s="469">
        <f t="shared" si="30"/>
        <v>507.17857142856997</v>
      </c>
      <c r="G590" s="935">
        <f t="shared" si="32"/>
        <v>-1014.3571428571431</v>
      </c>
      <c r="H590" s="938">
        <f t="shared" si="33"/>
        <v>-1014.3571428571431</v>
      </c>
      <c r="I590" s="509">
        <f t="shared" si="34"/>
        <v>0</v>
      </c>
      <c r="J590" s="509"/>
      <c r="K590" s="640"/>
      <c r="L590" s="514"/>
      <c r="M590" s="640"/>
      <c r="N590" s="514"/>
      <c r="O590" s="514"/>
    </row>
    <row r="591" spans="3:15">
      <c r="C591" s="505">
        <f>IF(D542="","-",+C590+1)</f>
        <v>2059</v>
      </c>
      <c r="D591" s="941">
        <f t="shared" si="31"/>
        <v>507.17857142856997</v>
      </c>
      <c r="E591" s="942">
        <f t="shared" si="35"/>
        <v>-1014.3571428571429</v>
      </c>
      <c r="F591" s="469">
        <f t="shared" si="30"/>
        <v>1521.5357142857129</v>
      </c>
      <c r="G591" s="935">
        <f t="shared" si="32"/>
        <v>-862.23778858858486</v>
      </c>
      <c r="H591" s="938">
        <f t="shared" si="33"/>
        <v>-862.23778858858486</v>
      </c>
      <c r="I591" s="509">
        <f t="shared" si="34"/>
        <v>0</v>
      </c>
      <c r="J591" s="509"/>
      <c r="K591" s="640"/>
      <c r="L591" s="514"/>
      <c r="M591" s="640"/>
      <c r="N591" s="514"/>
      <c r="O591" s="514"/>
    </row>
    <row r="592" spans="3:15">
      <c r="C592" s="505">
        <f>IF(D542="","-",+C591+1)</f>
        <v>2060</v>
      </c>
      <c r="D592" s="941">
        <v>0</v>
      </c>
      <c r="E592" s="942">
        <v>0</v>
      </c>
      <c r="F592" s="469">
        <f t="shared" si="30"/>
        <v>0</v>
      </c>
      <c r="G592" s="935">
        <f t="shared" si="32"/>
        <v>0</v>
      </c>
      <c r="H592" s="938">
        <f t="shared" si="33"/>
        <v>0</v>
      </c>
      <c r="I592" s="509">
        <f t="shared" si="34"/>
        <v>0</v>
      </c>
      <c r="J592" s="509"/>
      <c r="K592" s="640"/>
      <c r="L592" s="514"/>
      <c r="M592" s="640"/>
      <c r="N592" s="514"/>
      <c r="O592" s="514"/>
    </row>
    <row r="593" spans="3:15">
      <c r="C593" s="505">
        <f>IF(D542="","-",+C592+1)</f>
        <v>2061</v>
      </c>
      <c r="D593" s="941">
        <v>0</v>
      </c>
      <c r="E593" s="942">
        <v>0</v>
      </c>
      <c r="F593" s="469">
        <f t="shared" si="30"/>
        <v>0</v>
      </c>
      <c r="G593" s="935">
        <f t="shared" si="32"/>
        <v>0</v>
      </c>
      <c r="H593" s="938">
        <f t="shared" si="33"/>
        <v>0</v>
      </c>
      <c r="I593" s="509">
        <f t="shared" si="34"/>
        <v>0</v>
      </c>
      <c r="J593" s="509"/>
      <c r="K593" s="640"/>
      <c r="L593" s="514"/>
      <c r="M593" s="640"/>
      <c r="N593" s="514"/>
      <c r="O593" s="514"/>
    </row>
    <row r="594" spans="3:15">
      <c r="C594" s="505">
        <f>IF(D542="","-",+C593+1)</f>
        <v>2062</v>
      </c>
      <c r="D594" s="941">
        <v>0</v>
      </c>
      <c r="E594" s="942">
        <v>0</v>
      </c>
      <c r="F594" s="469">
        <f t="shared" si="30"/>
        <v>0</v>
      </c>
      <c r="G594" s="935">
        <f t="shared" si="32"/>
        <v>0</v>
      </c>
      <c r="H594" s="938">
        <f t="shared" si="33"/>
        <v>0</v>
      </c>
      <c r="I594" s="509">
        <f t="shared" si="34"/>
        <v>0</v>
      </c>
      <c r="J594" s="509"/>
      <c r="K594" s="640"/>
      <c r="L594" s="514"/>
      <c r="M594" s="640"/>
      <c r="N594" s="514"/>
      <c r="O594" s="514"/>
    </row>
    <row r="595" spans="3:15">
      <c r="C595" s="505">
        <f>IF(D542="","-",+C594+1)</f>
        <v>2063</v>
      </c>
      <c r="D595" s="941">
        <v>0</v>
      </c>
      <c r="E595" s="942">
        <v>0</v>
      </c>
      <c r="F595" s="469">
        <f t="shared" si="30"/>
        <v>0</v>
      </c>
      <c r="G595" s="935">
        <f t="shared" si="32"/>
        <v>0</v>
      </c>
      <c r="H595" s="938">
        <f t="shared" si="33"/>
        <v>0</v>
      </c>
      <c r="I595" s="509">
        <f t="shared" si="34"/>
        <v>0</v>
      </c>
      <c r="J595" s="509"/>
      <c r="K595" s="640"/>
      <c r="L595" s="514"/>
      <c r="M595" s="640"/>
      <c r="N595" s="514"/>
      <c r="O595" s="514"/>
    </row>
    <row r="596" spans="3:15">
      <c r="C596" s="505">
        <f>IF(D542="","-",+C595+1)</f>
        <v>2064</v>
      </c>
      <c r="D596" s="941">
        <v>0</v>
      </c>
      <c r="E596" s="942">
        <v>0</v>
      </c>
      <c r="F596" s="469">
        <f t="shared" si="30"/>
        <v>0</v>
      </c>
      <c r="G596" s="935">
        <f t="shared" si="32"/>
        <v>0</v>
      </c>
      <c r="H596" s="938">
        <f t="shared" si="33"/>
        <v>0</v>
      </c>
      <c r="I596" s="509">
        <f t="shared" si="34"/>
        <v>0</v>
      </c>
      <c r="J596" s="509"/>
      <c r="K596" s="640"/>
      <c r="L596" s="514"/>
      <c r="M596" s="640"/>
      <c r="N596" s="514"/>
      <c r="O596" s="514"/>
    </row>
    <row r="597" spans="3:15">
      <c r="C597" s="505">
        <f>IF(D542="","-",+C596+1)</f>
        <v>2065</v>
      </c>
      <c r="D597" s="941">
        <v>0</v>
      </c>
      <c r="E597" s="942">
        <v>0</v>
      </c>
      <c r="F597" s="469">
        <f t="shared" si="30"/>
        <v>0</v>
      </c>
      <c r="G597" s="935">
        <f t="shared" si="32"/>
        <v>0</v>
      </c>
      <c r="H597" s="938">
        <f t="shared" si="33"/>
        <v>0</v>
      </c>
      <c r="I597" s="509">
        <f t="shared" si="34"/>
        <v>0</v>
      </c>
      <c r="J597" s="509"/>
      <c r="K597" s="640"/>
      <c r="L597" s="514"/>
      <c r="M597" s="640"/>
      <c r="N597" s="514"/>
      <c r="O597" s="514"/>
    </row>
    <row r="598" spans="3:15">
      <c r="C598" s="505">
        <f>IF(D542="","-",+C597+1)</f>
        <v>2066</v>
      </c>
      <c r="D598" s="941">
        <v>0</v>
      </c>
      <c r="E598" s="942">
        <v>0</v>
      </c>
      <c r="F598" s="469">
        <f t="shared" si="30"/>
        <v>0</v>
      </c>
      <c r="G598" s="935">
        <f t="shared" si="32"/>
        <v>0</v>
      </c>
      <c r="H598" s="938">
        <f t="shared" si="33"/>
        <v>0</v>
      </c>
      <c r="I598" s="509">
        <f t="shared" si="34"/>
        <v>0</v>
      </c>
      <c r="J598" s="509"/>
      <c r="K598" s="640"/>
      <c r="L598" s="514"/>
      <c r="M598" s="640"/>
      <c r="N598" s="514"/>
      <c r="O598" s="514"/>
    </row>
    <row r="599" spans="3:15">
      <c r="C599" s="505">
        <f>IF(D542="","-",+C598+1)</f>
        <v>2067</v>
      </c>
      <c r="D599" s="941">
        <v>0</v>
      </c>
      <c r="E599" s="942">
        <v>0</v>
      </c>
      <c r="F599" s="469">
        <f t="shared" si="30"/>
        <v>0</v>
      </c>
      <c r="G599" s="935">
        <f t="shared" si="32"/>
        <v>0</v>
      </c>
      <c r="H599" s="938">
        <f t="shared" si="33"/>
        <v>0</v>
      </c>
      <c r="I599" s="509">
        <f t="shared" si="34"/>
        <v>0</v>
      </c>
      <c r="J599" s="509"/>
      <c r="K599" s="640"/>
      <c r="L599" s="514"/>
      <c r="M599" s="640"/>
      <c r="N599" s="514"/>
      <c r="O599" s="514"/>
    </row>
    <row r="600" spans="3:15">
      <c r="C600" s="505">
        <f>IF(D542="","-",+C599+1)</f>
        <v>2068</v>
      </c>
      <c r="D600" s="941">
        <v>0</v>
      </c>
      <c r="E600" s="942">
        <v>0</v>
      </c>
      <c r="F600" s="469">
        <f t="shared" si="30"/>
        <v>0</v>
      </c>
      <c r="G600" s="935">
        <f t="shared" si="32"/>
        <v>0</v>
      </c>
      <c r="H600" s="938">
        <f t="shared" si="33"/>
        <v>0</v>
      </c>
      <c r="I600" s="509">
        <f t="shared" si="34"/>
        <v>0</v>
      </c>
      <c r="J600" s="509"/>
      <c r="K600" s="640"/>
      <c r="L600" s="514"/>
      <c r="M600" s="640"/>
      <c r="N600" s="514"/>
      <c r="O600" s="514"/>
    </row>
    <row r="601" spans="3:15">
      <c r="C601" s="505">
        <f>IF(D542="","-",+C600+1)</f>
        <v>2069</v>
      </c>
      <c r="D601" s="941">
        <v>0</v>
      </c>
      <c r="E601" s="942">
        <v>0</v>
      </c>
      <c r="F601" s="469">
        <f t="shared" si="30"/>
        <v>0</v>
      </c>
      <c r="G601" s="935">
        <f t="shared" si="32"/>
        <v>0</v>
      </c>
      <c r="H601" s="938">
        <f t="shared" si="33"/>
        <v>0</v>
      </c>
      <c r="I601" s="509">
        <f t="shared" si="34"/>
        <v>0</v>
      </c>
      <c r="J601" s="509"/>
      <c r="K601" s="640"/>
      <c r="L601" s="514"/>
      <c r="M601" s="640"/>
      <c r="N601" s="514"/>
      <c r="O601" s="514"/>
    </row>
    <row r="602" spans="3:15">
      <c r="C602" s="505">
        <f>IF(D542="","-",+C601+1)</f>
        <v>2070</v>
      </c>
      <c r="D602" s="941">
        <v>0</v>
      </c>
      <c r="E602" s="942">
        <v>0</v>
      </c>
      <c r="F602" s="469">
        <f t="shared" si="30"/>
        <v>0</v>
      </c>
      <c r="G602" s="935">
        <f t="shared" si="32"/>
        <v>0</v>
      </c>
      <c r="H602" s="938">
        <f t="shared" si="33"/>
        <v>0</v>
      </c>
      <c r="I602" s="509">
        <f t="shared" si="34"/>
        <v>0</v>
      </c>
      <c r="J602" s="509"/>
      <c r="K602" s="640"/>
      <c r="L602" s="514"/>
      <c r="M602" s="640"/>
      <c r="N602" s="514"/>
      <c r="O602" s="514"/>
    </row>
    <row r="603" spans="3:15">
      <c r="C603" s="505">
        <f>IF(D542="","-",+C602+1)</f>
        <v>2071</v>
      </c>
      <c r="D603" s="941">
        <v>0</v>
      </c>
      <c r="E603" s="942">
        <v>0</v>
      </c>
      <c r="F603" s="469">
        <f t="shared" si="30"/>
        <v>0</v>
      </c>
      <c r="G603" s="935">
        <f t="shared" si="32"/>
        <v>0</v>
      </c>
      <c r="H603" s="938">
        <f t="shared" si="33"/>
        <v>0</v>
      </c>
      <c r="I603" s="509">
        <f t="shared" si="34"/>
        <v>0</v>
      </c>
      <c r="J603" s="509"/>
      <c r="K603" s="640"/>
      <c r="L603" s="514"/>
      <c r="M603" s="640"/>
      <c r="N603" s="514"/>
      <c r="O603" s="514"/>
    </row>
    <row r="604" spans="3:15">
      <c r="C604" s="505">
        <f>IF(D542="","-",+C603+1)</f>
        <v>2072</v>
      </c>
      <c r="D604" s="941">
        <v>0</v>
      </c>
      <c r="E604" s="942">
        <v>0</v>
      </c>
      <c r="F604" s="469">
        <f t="shared" si="30"/>
        <v>0</v>
      </c>
      <c r="G604" s="935">
        <f t="shared" si="32"/>
        <v>0</v>
      </c>
      <c r="H604" s="938">
        <f t="shared" si="33"/>
        <v>0</v>
      </c>
      <c r="I604" s="509">
        <f t="shared" si="34"/>
        <v>0</v>
      </c>
      <c r="J604" s="509"/>
      <c r="K604" s="640"/>
      <c r="L604" s="514"/>
      <c r="M604" s="640"/>
      <c r="N604" s="514"/>
      <c r="O604" s="514"/>
    </row>
    <row r="605" spans="3:15">
      <c r="C605" s="505">
        <f>IF(D542="","-",+C604+1)</f>
        <v>2073</v>
      </c>
      <c r="D605" s="941">
        <v>0</v>
      </c>
      <c r="E605" s="942">
        <v>0</v>
      </c>
      <c r="F605" s="469">
        <f t="shared" si="30"/>
        <v>0</v>
      </c>
      <c r="G605" s="935">
        <f t="shared" si="32"/>
        <v>0</v>
      </c>
      <c r="H605" s="938">
        <f t="shared" si="33"/>
        <v>0</v>
      </c>
      <c r="I605" s="509">
        <f t="shared" si="34"/>
        <v>0</v>
      </c>
      <c r="J605" s="509"/>
      <c r="K605" s="640"/>
      <c r="L605" s="514"/>
      <c r="M605" s="640"/>
      <c r="N605" s="514"/>
      <c r="O605" s="514"/>
    </row>
    <row r="606" spans="3:15">
      <c r="C606" s="505">
        <f>IF(D542="","-",+C605+1)</f>
        <v>2074</v>
      </c>
      <c r="D606" s="941">
        <v>0</v>
      </c>
      <c r="E606" s="942">
        <v>0</v>
      </c>
      <c r="F606" s="469">
        <f t="shared" si="30"/>
        <v>0</v>
      </c>
      <c r="G606" s="935">
        <f t="shared" si="32"/>
        <v>0</v>
      </c>
      <c r="H606" s="938">
        <f t="shared" si="33"/>
        <v>0</v>
      </c>
      <c r="I606" s="509">
        <f t="shared" si="34"/>
        <v>0</v>
      </c>
      <c r="J606" s="509"/>
      <c r="K606" s="640"/>
      <c r="L606" s="514"/>
      <c r="M606" s="640"/>
      <c r="N606" s="514"/>
      <c r="O606" s="514"/>
    </row>
    <row r="607" spans="3:15" ht="13.5" thickBot="1">
      <c r="C607" s="515">
        <f>IF(D542="","-",+C606+1)</f>
        <v>2075</v>
      </c>
      <c r="D607" s="954">
        <v>0</v>
      </c>
      <c r="E607" s="955">
        <v>0</v>
      </c>
      <c r="F607" s="516">
        <f t="shared" si="30"/>
        <v>0</v>
      </c>
      <c r="G607" s="946">
        <f t="shared" si="32"/>
        <v>0</v>
      </c>
      <c r="H607" s="946">
        <f t="shared" si="33"/>
        <v>0</v>
      </c>
      <c r="I607" s="519">
        <f t="shared" si="34"/>
        <v>0</v>
      </c>
      <c r="J607" s="509"/>
      <c r="K607" s="641"/>
      <c r="L607" s="521"/>
      <c r="M607" s="641"/>
      <c r="N607" s="521"/>
      <c r="O607" s="521"/>
    </row>
    <row r="608" spans="3:15">
      <c r="C608" s="469" t="s">
        <v>288</v>
      </c>
      <c r="D608" s="915"/>
      <c r="E608" s="469"/>
      <c r="F608" s="915"/>
      <c r="G608" s="915">
        <f>SUM(G548:G607)</f>
        <v>-181298.16342595819</v>
      </c>
      <c r="H608" s="915">
        <f>SUM(H548:H607)</f>
        <v>-181298.16342595819</v>
      </c>
      <c r="I608" s="915">
        <f>SUM(I548:I607)</f>
        <v>0</v>
      </c>
      <c r="J608" s="915"/>
      <c r="K608" s="915"/>
      <c r="L608" s="915"/>
      <c r="M608" s="915"/>
      <c r="N608" s="915"/>
      <c r="O608" s="4"/>
    </row>
    <row r="609" spans="1:16">
      <c r="D609" s="79"/>
      <c r="E609" s="4"/>
      <c r="F609" s="4"/>
      <c r="G609" s="4"/>
      <c r="H609" s="914"/>
      <c r="I609" s="914"/>
      <c r="J609" s="915"/>
      <c r="K609" s="914"/>
      <c r="L609" s="914"/>
      <c r="M609" s="914"/>
      <c r="N609" s="914"/>
      <c r="O609" s="4"/>
    </row>
    <row r="610" spans="1:16">
      <c r="C610" s="4" t="s">
        <v>595</v>
      </c>
      <c r="D610" s="79"/>
      <c r="E610" s="4"/>
      <c r="F610" s="4"/>
      <c r="G610" s="4"/>
      <c r="H610" s="914"/>
      <c r="I610" s="914"/>
      <c r="J610" s="915"/>
      <c r="K610" s="914"/>
      <c r="L610" s="914"/>
      <c r="M610" s="914"/>
      <c r="N610" s="914"/>
      <c r="O610" s="4"/>
    </row>
    <row r="611" spans="1:16">
      <c r="C611" s="4"/>
      <c r="D611" s="79"/>
      <c r="E611" s="4"/>
      <c r="F611" s="4"/>
      <c r="G611" s="4"/>
      <c r="H611" s="914"/>
      <c r="I611" s="914"/>
      <c r="J611" s="915"/>
      <c r="K611" s="914"/>
      <c r="L611" s="914"/>
      <c r="M611" s="914"/>
      <c r="N611" s="914"/>
      <c r="O611" s="4"/>
    </row>
    <row r="612" spans="1:16">
      <c r="C612" s="479" t="s">
        <v>924</v>
      </c>
      <c r="D612" s="469"/>
      <c r="E612" s="469"/>
      <c r="F612" s="469"/>
      <c r="G612" s="915"/>
      <c r="H612" s="915"/>
      <c r="I612" s="471"/>
      <c r="J612" s="471"/>
      <c r="K612" s="471"/>
      <c r="L612" s="471"/>
      <c r="M612" s="471"/>
      <c r="N612" s="471"/>
      <c r="O612" s="4"/>
    </row>
    <row r="613" spans="1:16">
      <c r="C613" s="479" t="s">
        <v>476</v>
      </c>
      <c r="D613" s="469"/>
      <c r="E613" s="469"/>
      <c r="F613" s="469"/>
      <c r="G613" s="915"/>
      <c r="H613" s="915"/>
      <c r="I613" s="471"/>
      <c r="J613" s="471"/>
      <c r="K613" s="471"/>
      <c r="L613" s="471"/>
      <c r="M613" s="471"/>
      <c r="N613" s="471"/>
      <c r="O613" s="4"/>
    </row>
    <row r="614" spans="1:16">
      <c r="C614" s="470" t="s">
        <v>289</v>
      </c>
      <c r="D614" s="469"/>
      <c r="E614" s="469"/>
      <c r="F614" s="469"/>
      <c r="G614" s="915"/>
      <c r="H614" s="915"/>
      <c r="I614" s="471"/>
      <c r="J614" s="471"/>
      <c r="K614" s="471"/>
      <c r="L614" s="471"/>
      <c r="M614" s="471"/>
      <c r="N614" s="471"/>
      <c r="O614" s="4"/>
    </row>
    <row r="615" spans="1:16">
      <c r="C615" s="470"/>
      <c r="D615" s="469"/>
      <c r="E615" s="469"/>
      <c r="F615" s="469"/>
      <c r="G615" s="915"/>
      <c r="H615" s="915"/>
      <c r="I615" s="471"/>
      <c r="J615" s="471"/>
      <c r="K615" s="471"/>
      <c r="L615" s="471"/>
      <c r="M615" s="471"/>
      <c r="N615" s="471"/>
      <c r="O615" s="4"/>
    </row>
    <row r="616" spans="1:16">
      <c r="C616" s="1275" t="s">
        <v>460</v>
      </c>
      <c r="D616" s="1275"/>
      <c r="E616" s="1275"/>
      <c r="F616" s="1275"/>
      <c r="G616" s="1275"/>
      <c r="H616" s="1275"/>
      <c r="I616" s="1275"/>
      <c r="J616" s="1275"/>
      <c r="K616" s="1275"/>
      <c r="L616" s="1275"/>
      <c r="M616" s="1275"/>
      <c r="N616" s="1275"/>
      <c r="O616" s="1275"/>
    </row>
    <row r="617" spans="1:16">
      <c r="C617" s="1275"/>
      <c r="D617" s="1275"/>
      <c r="E617" s="1275"/>
      <c r="F617" s="1275"/>
      <c r="G617" s="1275"/>
      <c r="H617" s="1275"/>
      <c r="I617" s="1275"/>
      <c r="J617" s="1275"/>
      <c r="K617" s="1275"/>
      <c r="L617" s="1275"/>
      <c r="M617" s="1275"/>
      <c r="N617" s="1275"/>
      <c r="O617" s="1275"/>
    </row>
    <row r="618" spans="1:16" ht="20.25">
      <c r="A618" s="411" t="s">
        <v>921</v>
      </c>
      <c r="B618" s="4"/>
      <c r="C618" s="4"/>
      <c r="D618" s="79"/>
      <c r="E618" s="4"/>
      <c r="F618" s="81"/>
      <c r="G618" s="4"/>
      <c r="H618" s="914"/>
      <c r="K618" s="11"/>
      <c r="L618" s="11"/>
      <c r="M618" s="11"/>
      <c r="N618" s="11" t="str">
        <f>"Page "&amp;SUM(P$6:P618)&amp;" of "</f>
        <v xml:space="preserve">Page 7 of </v>
      </c>
      <c r="O618" s="412">
        <f>COUNT(P$6:P$59579)</f>
        <v>22</v>
      </c>
      <c r="P618" s="4">
        <v>1</v>
      </c>
    </row>
    <row r="619" spans="1:16">
      <c r="B619" s="4"/>
      <c r="C619" s="4"/>
      <c r="D619" s="79"/>
      <c r="E619" s="4"/>
      <c r="F619" s="4"/>
      <c r="G619" s="4"/>
      <c r="H619" s="914"/>
      <c r="I619" s="4"/>
      <c r="J619" s="4"/>
      <c r="K619" s="4"/>
      <c r="L619" s="4"/>
      <c r="M619" s="4"/>
      <c r="N619" s="4"/>
      <c r="O619" s="4"/>
    </row>
    <row r="620" spans="1:16" ht="18">
      <c r="B620" s="413" t="s">
        <v>174</v>
      </c>
      <c r="C620" s="472" t="s">
        <v>290</v>
      </c>
      <c r="D620" s="79"/>
      <c r="E620" s="4"/>
      <c r="F620" s="4"/>
      <c r="G620" s="4"/>
      <c r="H620" s="914"/>
      <c r="I620" s="914"/>
      <c r="J620" s="915"/>
      <c r="K620" s="914"/>
      <c r="L620" s="914"/>
      <c r="M620" s="914"/>
      <c r="N620" s="914"/>
      <c r="O620" s="4"/>
    </row>
    <row r="621" spans="1:16" ht="18.75">
      <c r="B621" s="413"/>
      <c r="C621" s="13"/>
      <c r="D621" s="79"/>
      <c r="E621" s="4"/>
      <c r="F621" s="4"/>
      <c r="G621" s="4"/>
      <c r="H621" s="914"/>
      <c r="I621" s="914"/>
      <c r="J621" s="915"/>
      <c r="K621" s="914"/>
      <c r="L621" s="914"/>
      <c r="M621" s="914"/>
      <c r="N621" s="914"/>
      <c r="O621" s="4"/>
    </row>
    <row r="622" spans="1:16" ht="18.75">
      <c r="B622" s="413"/>
      <c r="C622" s="13" t="s">
        <v>291</v>
      </c>
      <c r="D622" s="79"/>
      <c r="E622" s="4"/>
      <c r="F622" s="4"/>
      <c r="G622" s="4"/>
      <c r="H622" s="914"/>
      <c r="I622" s="914"/>
      <c r="J622" s="915"/>
      <c r="K622" s="914"/>
      <c r="L622" s="914"/>
      <c r="M622" s="914"/>
      <c r="N622" s="914"/>
      <c r="O622" s="4"/>
    </row>
    <row r="623" spans="1:16" ht="15.75" thickBot="1">
      <c r="C623" s="247"/>
      <c r="D623" s="79"/>
      <c r="E623" s="4"/>
      <c r="F623" s="4"/>
      <c r="G623" s="4"/>
      <c r="H623" s="914"/>
      <c r="I623" s="914"/>
      <c r="J623" s="915"/>
      <c r="K623" s="914"/>
      <c r="L623" s="914"/>
      <c r="M623" s="914"/>
      <c r="N623" s="914"/>
      <c r="O623" s="4"/>
    </row>
    <row r="624" spans="1:16" ht="15.75">
      <c r="C624" s="414" t="s">
        <v>292</v>
      </c>
      <c r="D624" s="79"/>
      <c r="E624" s="4"/>
      <c r="F624" s="4"/>
      <c r="G624" s="948"/>
      <c r="H624" s="4" t="s">
        <v>271</v>
      </c>
      <c r="I624" s="4"/>
      <c r="J624" s="4"/>
      <c r="K624" s="473" t="s">
        <v>296</v>
      </c>
      <c r="L624" s="474"/>
      <c r="M624" s="475"/>
      <c r="N624" s="917">
        <f>VLOOKUP(I630,C637:O696,5)</f>
        <v>629640.2055323238</v>
      </c>
      <c r="O624" s="4"/>
    </row>
    <row r="625" spans="1:15" ht="15.75">
      <c r="C625" s="414"/>
      <c r="D625" s="79"/>
      <c r="E625" s="4"/>
      <c r="F625" s="4"/>
      <c r="G625" s="4"/>
      <c r="H625" s="918"/>
      <c r="I625" s="918"/>
      <c r="J625" s="919"/>
      <c r="K625" s="478" t="s">
        <v>297</v>
      </c>
      <c r="L625" s="920"/>
      <c r="M625" s="4"/>
      <c r="N625" s="921">
        <f>VLOOKUP(I630,C637:O696,6)</f>
        <v>629640.2055323238</v>
      </c>
      <c r="O625" s="4"/>
    </row>
    <row r="626" spans="1:15" ht="13.5" thickBot="1">
      <c r="C626" s="479" t="s">
        <v>293</v>
      </c>
      <c r="D626" s="956" t="s">
        <v>930</v>
      </c>
      <c r="E626" s="953"/>
      <c r="F626" s="953"/>
      <c r="G626" s="953"/>
      <c r="H626" s="643"/>
      <c r="I626" s="643"/>
      <c r="J626" s="915"/>
      <c r="K626" s="922" t="s">
        <v>450</v>
      </c>
      <c r="L626" s="923"/>
      <c r="M626" s="923"/>
      <c r="N626" s="924">
        <f>+N625-N624</f>
        <v>0</v>
      </c>
      <c r="O626" s="4"/>
    </row>
    <row r="627" spans="1:15">
      <c r="C627" s="481"/>
      <c r="D627" s="482"/>
      <c r="E627" s="469"/>
      <c r="F627" s="469"/>
      <c r="G627" s="483"/>
      <c r="H627" s="914"/>
      <c r="I627" s="914"/>
      <c r="J627" s="915"/>
      <c r="K627" s="914"/>
      <c r="L627" s="914"/>
      <c r="M627" s="914"/>
      <c r="N627" s="914"/>
      <c r="O627" s="4"/>
    </row>
    <row r="628" spans="1:15" ht="13.5" thickBot="1">
      <c r="C628" s="481"/>
      <c r="D628" s="925"/>
      <c r="E628" s="483"/>
      <c r="F628" s="483"/>
      <c r="G628" s="483"/>
      <c r="H628" s="483"/>
      <c r="I628" s="483"/>
      <c r="J628" s="483"/>
      <c r="K628" s="483"/>
      <c r="L628" s="483"/>
      <c r="M628" s="483"/>
      <c r="N628" s="483"/>
      <c r="O628" s="4"/>
    </row>
    <row r="629" spans="1:15" ht="13.5" thickBot="1">
      <c r="C629" s="484" t="s">
        <v>294</v>
      </c>
      <c r="D629" s="485"/>
      <c r="E629" s="485"/>
      <c r="F629" s="485"/>
      <c r="G629" s="485"/>
      <c r="H629" s="485"/>
      <c r="I629" s="486"/>
      <c r="K629" s="4"/>
      <c r="L629" s="4"/>
      <c r="M629" s="4"/>
      <c r="N629" s="4"/>
      <c r="O629" s="4"/>
    </row>
    <row r="630" spans="1:15" ht="15">
      <c r="C630" s="487" t="s">
        <v>272</v>
      </c>
      <c r="D630" s="926">
        <v>4007566</v>
      </c>
      <c r="E630" s="4" t="s">
        <v>273</v>
      </c>
      <c r="G630" s="79"/>
      <c r="H630" s="79"/>
      <c r="I630" s="488">
        <v>2018</v>
      </c>
      <c r="J630" s="135"/>
      <c r="K630" s="1277" t="s">
        <v>459</v>
      </c>
      <c r="L630" s="1277"/>
      <c r="M630" s="1277"/>
      <c r="N630" s="1277"/>
      <c r="O630" s="1277"/>
    </row>
    <row r="631" spans="1:15">
      <c r="C631" s="487" t="s">
        <v>275</v>
      </c>
      <c r="D631" s="636">
        <v>2013</v>
      </c>
      <c r="E631" s="487" t="s">
        <v>276</v>
      </c>
      <c r="F631" s="79"/>
      <c r="H631"/>
      <c r="I631" s="927">
        <f>IF(G624="",0,$F$15)</f>
        <v>0</v>
      </c>
      <c r="J631" s="489"/>
      <c r="K631" s="915" t="s">
        <v>459</v>
      </c>
    </row>
    <row r="632" spans="1:15">
      <c r="C632" s="487" t="s">
        <v>277</v>
      </c>
      <c r="D632" s="926">
        <v>10</v>
      </c>
      <c r="E632" s="487" t="s">
        <v>278</v>
      </c>
      <c r="F632" s="79"/>
      <c r="H632"/>
      <c r="I632" s="490">
        <f>$G$70</f>
        <v>0.14996626714737105</v>
      </c>
      <c r="J632" s="81"/>
      <c r="K632" t="str">
        <f>"          INPUT PROJECTED ARR (WITH &amp; WITHOUT INCENTIVES) FROM EACH PRIOR YEAR"</f>
        <v xml:space="preserve">          INPUT PROJECTED ARR (WITH &amp; WITHOUT INCENTIVES) FROM EACH PRIOR YEAR</v>
      </c>
    </row>
    <row r="633" spans="1:15">
      <c r="C633" s="487" t="s">
        <v>279</v>
      </c>
      <c r="D633" s="491">
        <f>G$79</f>
        <v>42</v>
      </c>
      <c r="E633" s="487" t="s">
        <v>280</v>
      </c>
      <c r="F633" s="79"/>
      <c r="H633"/>
      <c r="I633" s="490">
        <f>IF(G624="",I632,$G$67)</f>
        <v>0.14996626714737105</v>
      </c>
      <c r="J633" s="81"/>
      <c r="K633" t="s">
        <v>357</v>
      </c>
    </row>
    <row r="634" spans="1:15" ht="13.5" thickBot="1">
      <c r="C634" s="487" t="s">
        <v>281</v>
      </c>
      <c r="D634" s="637" t="s">
        <v>923</v>
      </c>
      <c r="E634" s="492" t="s">
        <v>282</v>
      </c>
      <c r="F634" s="493"/>
      <c r="G634" s="494"/>
      <c r="H634" s="494"/>
      <c r="I634" s="924">
        <f>IF(D630=0,0,D630/D633)</f>
        <v>95418.238095238092</v>
      </c>
      <c r="J634" s="915"/>
      <c r="K634" s="915" t="s">
        <v>363</v>
      </c>
      <c r="L634" s="915"/>
      <c r="M634" s="915"/>
      <c r="N634" s="915"/>
      <c r="O634" s="4"/>
    </row>
    <row r="635" spans="1:15" ht="51">
      <c r="A635" s="12"/>
      <c r="B635" s="12"/>
      <c r="C635" s="495" t="s">
        <v>272</v>
      </c>
      <c r="D635" s="928" t="s">
        <v>283</v>
      </c>
      <c r="E635" s="929" t="s">
        <v>284</v>
      </c>
      <c r="F635" s="928" t="s">
        <v>285</v>
      </c>
      <c r="G635" s="929" t="s">
        <v>356</v>
      </c>
      <c r="H635" s="930" t="s">
        <v>356</v>
      </c>
      <c r="I635" s="495" t="s">
        <v>295</v>
      </c>
      <c r="J635" s="499"/>
      <c r="K635" s="929" t="s">
        <v>365</v>
      </c>
      <c r="L635" s="931"/>
      <c r="M635" s="929" t="s">
        <v>365</v>
      </c>
      <c r="N635" s="931"/>
      <c r="O635" s="931"/>
    </row>
    <row r="636" spans="1:15" ht="13.5" thickBot="1">
      <c r="C636" s="500" t="s">
        <v>177</v>
      </c>
      <c r="D636" s="501" t="s">
        <v>178</v>
      </c>
      <c r="E636" s="500" t="s">
        <v>37</v>
      </c>
      <c r="F636" s="501" t="s">
        <v>178</v>
      </c>
      <c r="G636" s="932" t="s">
        <v>298</v>
      </c>
      <c r="H636" s="933" t="s">
        <v>300</v>
      </c>
      <c r="I636" s="500" t="s">
        <v>389</v>
      </c>
      <c r="J636" s="504"/>
      <c r="K636" s="932" t="s">
        <v>287</v>
      </c>
      <c r="L636" s="934"/>
      <c r="M636" s="932" t="s">
        <v>300</v>
      </c>
      <c r="N636" s="934"/>
      <c r="O636" s="934"/>
    </row>
    <row r="637" spans="1:15">
      <c r="C637" s="505">
        <f>IF(D631= "","-",D631)</f>
        <v>2013</v>
      </c>
      <c r="D637" s="469">
        <f>+D630</f>
        <v>4007566</v>
      </c>
      <c r="E637" s="935">
        <f>+I634/12*(12-D632)</f>
        <v>15903.039682539682</v>
      </c>
      <c r="F637" s="469">
        <f t="shared" ref="F637:F696" si="36">+D637-E637</f>
        <v>3991662.9603174604</v>
      </c>
      <c r="G637" s="936">
        <f>+$I$632*((D637+F637)/2)+E637</f>
        <v>615710.29330051737</v>
      </c>
      <c r="H637" s="937">
        <f>$I$633*((D637+F637)/2)+E637</f>
        <v>615710.29330051737</v>
      </c>
      <c r="I637" s="509">
        <f>+H637-G637</f>
        <v>0</v>
      </c>
      <c r="J637" s="509"/>
      <c r="K637" s="639">
        <v>9.9999999999999995E-7</v>
      </c>
      <c r="L637" s="510"/>
      <c r="M637" s="639">
        <v>9.9999999999999995E-7</v>
      </c>
      <c r="N637" s="510"/>
      <c r="O637" s="510"/>
    </row>
    <row r="638" spans="1:15">
      <c r="C638" s="505">
        <f>IF(D631="","-",+C637+1)</f>
        <v>2014</v>
      </c>
      <c r="D638" s="469">
        <f t="shared" ref="D638:D696" si="37">F637</f>
        <v>3991662.9603174604</v>
      </c>
      <c r="E638" s="511">
        <f>IF(D638&gt;$I$634,$I$634,D638)</f>
        <v>95418.238095238092</v>
      </c>
      <c r="F638" s="469">
        <f t="shared" si="36"/>
        <v>3896244.7222222225</v>
      </c>
      <c r="G638" s="935">
        <f t="shared" ref="G638:G696" si="38">+$I$632*((D638+F638)/2)+E638</f>
        <v>686878.27347201132</v>
      </c>
      <c r="H638" s="938">
        <f t="shared" ref="H638:H696" si="39">$I$633*((D638+F638)/2)+E638</f>
        <v>686878.27347201132</v>
      </c>
      <c r="I638" s="509">
        <f t="shared" ref="I638:I696" si="40">+H638-G638</f>
        <v>0</v>
      </c>
      <c r="J638" s="509"/>
      <c r="K638" s="640">
        <v>7389592</v>
      </c>
      <c r="L638" s="514"/>
      <c r="M638" s="640">
        <v>7389592</v>
      </c>
      <c r="N638" s="514"/>
      <c r="O638" s="514"/>
    </row>
    <row r="639" spans="1:15">
      <c r="C639" s="505">
        <f>IF(D631="","-",+C638+1)</f>
        <v>2015</v>
      </c>
      <c r="D639" s="469">
        <f t="shared" si="37"/>
        <v>3896244.7222222225</v>
      </c>
      <c r="E639" s="511">
        <f t="shared" ref="E639:E696" si="41">IF(D639&gt;$I$634,$I$634,D639)</f>
        <v>95418.238095238092</v>
      </c>
      <c r="F639" s="469">
        <f t="shared" si="36"/>
        <v>3800826.4841269846</v>
      </c>
      <c r="G639" s="957">
        <f t="shared" si="38"/>
        <v>672568.75648708944</v>
      </c>
      <c r="H639" s="938">
        <f t="shared" si="39"/>
        <v>672568.75648708944</v>
      </c>
      <c r="I639" s="509">
        <f t="shared" si="40"/>
        <v>0</v>
      </c>
      <c r="J639" s="509"/>
      <c r="K639" s="640">
        <v>583939</v>
      </c>
      <c r="L639" s="514"/>
      <c r="M639" s="640">
        <v>583939</v>
      </c>
      <c r="N639" s="514"/>
      <c r="O639" s="514"/>
    </row>
    <row r="640" spans="1:15">
      <c r="C640" s="505">
        <f>IF(D631="","-",+C639+1)</f>
        <v>2016</v>
      </c>
      <c r="D640" s="469">
        <f t="shared" si="37"/>
        <v>3800826.4841269846</v>
      </c>
      <c r="E640" s="511">
        <f t="shared" si="41"/>
        <v>95418.238095238092</v>
      </c>
      <c r="F640" s="469">
        <f t="shared" si="36"/>
        <v>3705408.2460317467</v>
      </c>
      <c r="G640" s="935">
        <f t="shared" si="38"/>
        <v>658259.23950216756</v>
      </c>
      <c r="H640" s="938">
        <f t="shared" si="39"/>
        <v>658259.23950216756</v>
      </c>
      <c r="I640" s="509">
        <f t="shared" si="40"/>
        <v>0</v>
      </c>
      <c r="J640" s="509"/>
      <c r="K640" s="640">
        <v>662503</v>
      </c>
      <c r="L640" s="514"/>
      <c r="M640" s="640">
        <v>662503</v>
      </c>
      <c r="N640" s="514"/>
      <c r="O640" s="514"/>
    </row>
    <row r="641" spans="3:15">
      <c r="C641" s="505">
        <f>IF(D631="","-",+C640+1)</f>
        <v>2017</v>
      </c>
      <c r="D641" s="469">
        <f t="shared" si="37"/>
        <v>3705408.2460317467</v>
      </c>
      <c r="E641" s="511">
        <f t="shared" si="41"/>
        <v>95418.238095238092</v>
      </c>
      <c r="F641" s="469">
        <f t="shared" si="36"/>
        <v>3609990.0079365089</v>
      </c>
      <c r="G641" s="935">
        <f t="shared" si="38"/>
        <v>643949.72251724568</v>
      </c>
      <c r="H641" s="938">
        <f t="shared" si="39"/>
        <v>643949.72251724568</v>
      </c>
      <c r="I641" s="509">
        <f t="shared" si="40"/>
        <v>0</v>
      </c>
      <c r="J641" s="509"/>
      <c r="K641" s="640">
        <v>750034</v>
      </c>
      <c r="L641" s="514"/>
      <c r="M641" s="640">
        <v>750034</v>
      </c>
      <c r="N641" s="514"/>
      <c r="O641" s="514"/>
    </row>
    <row r="642" spans="3:15">
      <c r="C642" s="940">
        <f>IF(D631="","-",+C641+1)</f>
        <v>2018</v>
      </c>
      <c r="D642" s="941">
        <f t="shared" si="37"/>
        <v>3609990.0079365089</v>
      </c>
      <c r="E642" s="942">
        <f t="shared" si="41"/>
        <v>95418.238095238092</v>
      </c>
      <c r="F642" s="941">
        <f t="shared" si="36"/>
        <v>3514571.769841271</v>
      </c>
      <c r="G642" s="943">
        <f t="shared" si="38"/>
        <v>629640.2055323238</v>
      </c>
      <c r="H642" s="944">
        <f t="shared" si="39"/>
        <v>629640.2055323238</v>
      </c>
      <c r="I642" s="945">
        <f t="shared" si="40"/>
        <v>0</v>
      </c>
      <c r="J642" s="509"/>
      <c r="K642" s="640"/>
      <c r="L642" s="514"/>
      <c r="M642" s="640"/>
      <c r="N642" s="514"/>
      <c r="O642" s="514"/>
    </row>
    <row r="643" spans="3:15">
      <c r="C643" s="505">
        <f>IF(D631="","-",+C642+1)</f>
        <v>2019</v>
      </c>
      <c r="D643" s="469">
        <f t="shared" si="37"/>
        <v>3514571.769841271</v>
      </c>
      <c r="E643" s="511">
        <f t="shared" si="41"/>
        <v>95418.238095238092</v>
      </c>
      <c r="F643" s="469">
        <f t="shared" si="36"/>
        <v>3419153.5317460331</v>
      </c>
      <c r="G643" s="935">
        <f t="shared" si="38"/>
        <v>615330.68854740181</v>
      </c>
      <c r="H643" s="938">
        <f t="shared" si="39"/>
        <v>615330.68854740181</v>
      </c>
      <c r="I643" s="509">
        <f t="shared" si="40"/>
        <v>0</v>
      </c>
      <c r="J643" s="509"/>
      <c r="K643" s="640"/>
      <c r="L643" s="514"/>
      <c r="M643" s="640"/>
      <c r="N643" s="514"/>
      <c r="O643" s="514"/>
    </row>
    <row r="644" spans="3:15">
      <c r="C644" s="505">
        <f>IF(D631="","-",+C643+1)</f>
        <v>2020</v>
      </c>
      <c r="D644" s="469">
        <f t="shared" si="37"/>
        <v>3419153.5317460331</v>
      </c>
      <c r="E644" s="511">
        <f t="shared" si="41"/>
        <v>95418.238095238092</v>
      </c>
      <c r="F644" s="469">
        <f t="shared" si="36"/>
        <v>3323735.2936507952</v>
      </c>
      <c r="G644" s="935">
        <f t="shared" si="38"/>
        <v>601021.17156247993</v>
      </c>
      <c r="H644" s="938">
        <f t="shared" si="39"/>
        <v>601021.17156247993</v>
      </c>
      <c r="I644" s="509">
        <f t="shared" si="40"/>
        <v>0</v>
      </c>
      <c r="J644" s="509"/>
      <c r="K644" s="640"/>
      <c r="L644" s="514"/>
      <c r="M644" s="640"/>
      <c r="N644" s="514"/>
      <c r="O644" s="514"/>
    </row>
    <row r="645" spans="3:15">
      <c r="C645" s="505">
        <f>IF(D631="","-",+C644+1)</f>
        <v>2021</v>
      </c>
      <c r="D645" s="469">
        <f t="shared" si="37"/>
        <v>3323735.2936507952</v>
      </c>
      <c r="E645" s="511">
        <f t="shared" si="41"/>
        <v>95418.238095238092</v>
      </c>
      <c r="F645" s="469">
        <f t="shared" si="36"/>
        <v>3228317.0555555574</v>
      </c>
      <c r="G645" s="935">
        <f t="shared" si="38"/>
        <v>586711.65457755805</v>
      </c>
      <c r="H645" s="938">
        <f t="shared" si="39"/>
        <v>586711.65457755805</v>
      </c>
      <c r="I645" s="509">
        <f t="shared" si="40"/>
        <v>0</v>
      </c>
      <c r="J645" s="509"/>
      <c r="K645" s="640"/>
      <c r="L645" s="514"/>
      <c r="M645" s="640"/>
      <c r="N645" s="514"/>
      <c r="O645" s="514"/>
    </row>
    <row r="646" spans="3:15">
      <c r="C646" s="505">
        <f>IF(D631="","-",+C645+1)</f>
        <v>2022</v>
      </c>
      <c r="D646" s="469">
        <f t="shared" si="37"/>
        <v>3228317.0555555574</v>
      </c>
      <c r="E646" s="511">
        <f t="shared" si="41"/>
        <v>95418.238095238092</v>
      </c>
      <c r="F646" s="469">
        <f t="shared" si="36"/>
        <v>3132898.8174603195</v>
      </c>
      <c r="G646" s="935">
        <f t="shared" si="38"/>
        <v>572402.13759263617</v>
      </c>
      <c r="H646" s="938">
        <f t="shared" si="39"/>
        <v>572402.13759263617</v>
      </c>
      <c r="I646" s="509">
        <f t="shared" si="40"/>
        <v>0</v>
      </c>
      <c r="J646" s="509"/>
      <c r="K646" s="640"/>
      <c r="L646" s="514"/>
      <c r="M646" s="640"/>
      <c r="N646" s="514"/>
      <c r="O646" s="514"/>
    </row>
    <row r="647" spans="3:15">
      <c r="C647" s="505">
        <f>IF(D631="","-",+C646+1)</f>
        <v>2023</v>
      </c>
      <c r="D647" s="469">
        <f t="shared" si="37"/>
        <v>3132898.8174603195</v>
      </c>
      <c r="E647" s="511">
        <f t="shared" si="41"/>
        <v>95418.238095238092</v>
      </c>
      <c r="F647" s="469">
        <f t="shared" si="36"/>
        <v>3037480.5793650816</v>
      </c>
      <c r="G647" s="935">
        <f t="shared" si="38"/>
        <v>558092.62060771429</v>
      </c>
      <c r="H647" s="938">
        <f t="shared" si="39"/>
        <v>558092.62060771429</v>
      </c>
      <c r="I647" s="509">
        <f t="shared" si="40"/>
        <v>0</v>
      </c>
      <c r="J647" s="509"/>
      <c r="K647" s="640"/>
      <c r="L647" s="514"/>
      <c r="M647" s="640"/>
      <c r="N647" s="514"/>
      <c r="O647" s="514"/>
    </row>
    <row r="648" spans="3:15">
      <c r="C648" s="505">
        <f>IF(D631="","-",+C647+1)</f>
        <v>2024</v>
      </c>
      <c r="D648" s="469">
        <f t="shared" si="37"/>
        <v>3037480.5793650816</v>
      </c>
      <c r="E648" s="511">
        <f t="shared" si="41"/>
        <v>95418.238095238092</v>
      </c>
      <c r="F648" s="469">
        <f t="shared" si="36"/>
        <v>2942062.3412698437</v>
      </c>
      <c r="G648" s="935">
        <f t="shared" si="38"/>
        <v>543783.10362279229</v>
      </c>
      <c r="H648" s="938">
        <f t="shared" si="39"/>
        <v>543783.10362279229</v>
      </c>
      <c r="I648" s="509">
        <f t="shared" si="40"/>
        <v>0</v>
      </c>
      <c r="J648" s="509"/>
      <c r="K648" s="640"/>
      <c r="L648" s="514"/>
      <c r="M648" s="640"/>
      <c r="N648" s="514"/>
      <c r="O648" s="514"/>
    </row>
    <row r="649" spans="3:15">
      <c r="C649" s="505">
        <f>IF(D631="","-",+C648+1)</f>
        <v>2025</v>
      </c>
      <c r="D649" s="469">
        <f t="shared" si="37"/>
        <v>2942062.3412698437</v>
      </c>
      <c r="E649" s="511">
        <f t="shared" si="41"/>
        <v>95418.238095238092</v>
      </c>
      <c r="F649" s="469">
        <f t="shared" si="36"/>
        <v>2846644.1031746059</v>
      </c>
      <c r="G649" s="935">
        <f t="shared" si="38"/>
        <v>529473.58663787041</v>
      </c>
      <c r="H649" s="938">
        <f t="shared" si="39"/>
        <v>529473.58663787041</v>
      </c>
      <c r="I649" s="509">
        <f t="shared" si="40"/>
        <v>0</v>
      </c>
      <c r="J649" s="509"/>
      <c r="K649" s="640"/>
      <c r="L649" s="514"/>
      <c r="M649" s="640"/>
      <c r="N649" s="514"/>
      <c r="O649" s="514"/>
    </row>
    <row r="650" spans="3:15">
      <c r="C650" s="505">
        <f>IF(D631="","-",+C649+1)</f>
        <v>2026</v>
      </c>
      <c r="D650" s="469">
        <f t="shared" si="37"/>
        <v>2846644.1031746059</v>
      </c>
      <c r="E650" s="511">
        <f t="shared" si="41"/>
        <v>95418.238095238092</v>
      </c>
      <c r="F650" s="469">
        <f t="shared" si="36"/>
        <v>2751225.865079368</v>
      </c>
      <c r="G650" s="935">
        <f t="shared" si="38"/>
        <v>515164.06965294859</v>
      </c>
      <c r="H650" s="938">
        <f t="shared" si="39"/>
        <v>515164.06965294859</v>
      </c>
      <c r="I650" s="509">
        <f t="shared" si="40"/>
        <v>0</v>
      </c>
      <c r="J650" s="509"/>
      <c r="K650" s="640"/>
      <c r="L650" s="514"/>
      <c r="M650" s="640"/>
      <c r="N650" s="514"/>
      <c r="O650" s="514"/>
    </row>
    <row r="651" spans="3:15">
      <c r="C651" s="505">
        <f>IF(D631="","-",+C650+1)</f>
        <v>2027</v>
      </c>
      <c r="D651" s="469">
        <f t="shared" si="37"/>
        <v>2751225.865079368</v>
      </c>
      <c r="E651" s="511">
        <f t="shared" si="41"/>
        <v>95418.238095238092</v>
      </c>
      <c r="F651" s="469">
        <f t="shared" si="36"/>
        <v>2655807.6269841301</v>
      </c>
      <c r="G651" s="935">
        <f t="shared" si="38"/>
        <v>500854.55266802665</v>
      </c>
      <c r="H651" s="938">
        <f t="shared" si="39"/>
        <v>500854.55266802665</v>
      </c>
      <c r="I651" s="509">
        <f t="shared" si="40"/>
        <v>0</v>
      </c>
      <c r="J651" s="509"/>
      <c r="K651" s="640"/>
      <c r="L651" s="514"/>
      <c r="M651" s="640"/>
      <c r="N651" s="514"/>
      <c r="O651" s="514"/>
    </row>
    <row r="652" spans="3:15">
      <c r="C652" s="505">
        <f>IF(D631="","-",+C651+1)</f>
        <v>2028</v>
      </c>
      <c r="D652" s="469">
        <f t="shared" si="37"/>
        <v>2655807.6269841301</v>
      </c>
      <c r="E652" s="511">
        <f t="shared" si="41"/>
        <v>95418.238095238092</v>
      </c>
      <c r="F652" s="469">
        <f t="shared" si="36"/>
        <v>2560389.3888888923</v>
      </c>
      <c r="G652" s="935">
        <f t="shared" si="38"/>
        <v>486545.03568310477</v>
      </c>
      <c r="H652" s="938">
        <f t="shared" si="39"/>
        <v>486545.03568310477</v>
      </c>
      <c r="I652" s="509">
        <f t="shared" si="40"/>
        <v>0</v>
      </c>
      <c r="J652" s="509"/>
      <c r="K652" s="640"/>
      <c r="L652" s="514"/>
      <c r="M652" s="640"/>
      <c r="N652" s="514"/>
      <c r="O652" s="514"/>
    </row>
    <row r="653" spans="3:15">
      <c r="C653" s="505">
        <f>IF(D631="","-",+C652+1)</f>
        <v>2029</v>
      </c>
      <c r="D653" s="469">
        <f t="shared" si="37"/>
        <v>2560389.3888888923</v>
      </c>
      <c r="E653" s="511">
        <f t="shared" si="41"/>
        <v>95418.238095238092</v>
      </c>
      <c r="F653" s="469">
        <f t="shared" si="36"/>
        <v>2464971.1507936544</v>
      </c>
      <c r="G653" s="935">
        <f t="shared" si="38"/>
        <v>472235.51869818289</v>
      </c>
      <c r="H653" s="938">
        <f t="shared" si="39"/>
        <v>472235.51869818289</v>
      </c>
      <c r="I653" s="509">
        <f t="shared" si="40"/>
        <v>0</v>
      </c>
      <c r="J653" s="509"/>
      <c r="K653" s="640"/>
      <c r="L653" s="514"/>
      <c r="M653" s="640"/>
      <c r="N653" s="514"/>
      <c r="O653" s="514"/>
    </row>
    <row r="654" spans="3:15">
      <c r="C654" s="505">
        <f>IF(D631="","-",+C653+1)</f>
        <v>2030</v>
      </c>
      <c r="D654" s="469">
        <f t="shared" si="37"/>
        <v>2464971.1507936544</v>
      </c>
      <c r="E654" s="511">
        <f t="shared" si="41"/>
        <v>95418.238095238092</v>
      </c>
      <c r="F654" s="469">
        <f t="shared" si="36"/>
        <v>2369552.9126984165</v>
      </c>
      <c r="G654" s="935">
        <f t="shared" si="38"/>
        <v>457926.00171326095</v>
      </c>
      <c r="H654" s="938">
        <f t="shared" si="39"/>
        <v>457926.00171326095</v>
      </c>
      <c r="I654" s="509">
        <f t="shared" si="40"/>
        <v>0</v>
      </c>
      <c r="J654" s="509"/>
      <c r="K654" s="640"/>
      <c r="L654" s="514"/>
      <c r="M654" s="640"/>
      <c r="N654" s="514"/>
      <c r="O654" s="514"/>
    </row>
    <row r="655" spans="3:15">
      <c r="C655" s="505">
        <f>IF(D631="","-",+C654+1)</f>
        <v>2031</v>
      </c>
      <c r="D655" s="469">
        <f t="shared" si="37"/>
        <v>2369552.9126984165</v>
      </c>
      <c r="E655" s="511">
        <f t="shared" si="41"/>
        <v>95418.238095238092</v>
      </c>
      <c r="F655" s="469">
        <f t="shared" si="36"/>
        <v>2274134.6746031786</v>
      </c>
      <c r="G655" s="935">
        <f t="shared" si="38"/>
        <v>443616.48472833907</v>
      </c>
      <c r="H655" s="938">
        <f t="shared" si="39"/>
        <v>443616.48472833907</v>
      </c>
      <c r="I655" s="509">
        <f t="shared" si="40"/>
        <v>0</v>
      </c>
      <c r="J655" s="509"/>
      <c r="K655" s="640"/>
      <c r="L655" s="514"/>
      <c r="M655" s="640"/>
      <c r="N655" s="514"/>
      <c r="O655" s="514"/>
    </row>
    <row r="656" spans="3:15">
      <c r="C656" s="505">
        <f>IF(D631="","-",+C655+1)</f>
        <v>2032</v>
      </c>
      <c r="D656" s="469">
        <f t="shared" si="37"/>
        <v>2274134.6746031786</v>
      </c>
      <c r="E656" s="511">
        <f t="shared" si="41"/>
        <v>95418.238095238092</v>
      </c>
      <c r="F656" s="469">
        <f t="shared" si="36"/>
        <v>2178716.4365079408</v>
      </c>
      <c r="G656" s="935">
        <f t="shared" si="38"/>
        <v>429306.96774341719</v>
      </c>
      <c r="H656" s="938">
        <f t="shared" si="39"/>
        <v>429306.96774341719</v>
      </c>
      <c r="I656" s="509">
        <f t="shared" si="40"/>
        <v>0</v>
      </c>
      <c r="J656" s="509"/>
      <c r="K656" s="640"/>
      <c r="L656" s="514"/>
      <c r="M656" s="640"/>
      <c r="N656" s="514"/>
      <c r="O656" s="514"/>
    </row>
    <row r="657" spans="3:15">
      <c r="C657" s="505">
        <f>IF(D631="","-",+C656+1)</f>
        <v>2033</v>
      </c>
      <c r="D657" s="469">
        <f t="shared" si="37"/>
        <v>2178716.4365079408</v>
      </c>
      <c r="E657" s="511">
        <f t="shared" si="41"/>
        <v>95418.238095238092</v>
      </c>
      <c r="F657" s="469">
        <f t="shared" si="36"/>
        <v>2083298.1984127027</v>
      </c>
      <c r="G657" s="935">
        <f t="shared" si="38"/>
        <v>414997.45075849525</v>
      </c>
      <c r="H657" s="938">
        <f t="shared" si="39"/>
        <v>414997.45075849525</v>
      </c>
      <c r="I657" s="509">
        <f t="shared" si="40"/>
        <v>0</v>
      </c>
      <c r="J657" s="509"/>
      <c r="K657" s="640"/>
      <c r="L657" s="514"/>
      <c r="M657" s="640"/>
      <c r="N657" s="514"/>
      <c r="O657" s="514"/>
    </row>
    <row r="658" spans="3:15">
      <c r="C658" s="505">
        <f>IF(D631="","-",+C657+1)</f>
        <v>2034</v>
      </c>
      <c r="D658" s="469">
        <f t="shared" si="37"/>
        <v>2083298.1984127027</v>
      </c>
      <c r="E658" s="511">
        <f t="shared" si="41"/>
        <v>95418.238095238092</v>
      </c>
      <c r="F658" s="469">
        <f t="shared" si="36"/>
        <v>1987879.9603174645</v>
      </c>
      <c r="G658" s="935">
        <f t="shared" si="38"/>
        <v>400687.93377357331</v>
      </c>
      <c r="H658" s="938">
        <f t="shared" si="39"/>
        <v>400687.93377357331</v>
      </c>
      <c r="I658" s="509">
        <f t="shared" si="40"/>
        <v>0</v>
      </c>
      <c r="J658" s="509"/>
      <c r="K658" s="640"/>
      <c r="L658" s="514"/>
      <c r="M658" s="640"/>
      <c r="N658" s="514"/>
      <c r="O658" s="514"/>
    </row>
    <row r="659" spans="3:15">
      <c r="C659" s="505">
        <f>IF(D631="","-",+C658+1)</f>
        <v>2035</v>
      </c>
      <c r="D659" s="469">
        <f t="shared" si="37"/>
        <v>1987879.9603174645</v>
      </c>
      <c r="E659" s="511">
        <f t="shared" si="41"/>
        <v>95418.238095238092</v>
      </c>
      <c r="F659" s="469">
        <f t="shared" si="36"/>
        <v>1892461.7222222264</v>
      </c>
      <c r="G659" s="935">
        <f t="shared" si="38"/>
        <v>386378.41678865138</v>
      </c>
      <c r="H659" s="938">
        <f t="shared" si="39"/>
        <v>386378.41678865138</v>
      </c>
      <c r="I659" s="509">
        <f t="shared" si="40"/>
        <v>0</v>
      </c>
      <c r="J659" s="509"/>
      <c r="K659" s="640"/>
      <c r="L659" s="514"/>
      <c r="M659" s="640"/>
      <c r="N659" s="514"/>
      <c r="O659" s="514"/>
    </row>
    <row r="660" spans="3:15">
      <c r="C660" s="505">
        <f>IF(D631="","-",+C659+1)</f>
        <v>2036</v>
      </c>
      <c r="D660" s="469">
        <f t="shared" si="37"/>
        <v>1892461.7222222264</v>
      </c>
      <c r="E660" s="511">
        <f t="shared" si="41"/>
        <v>95418.238095238092</v>
      </c>
      <c r="F660" s="469">
        <f t="shared" si="36"/>
        <v>1797043.4841269883</v>
      </c>
      <c r="G660" s="935">
        <f t="shared" si="38"/>
        <v>372068.89980372944</v>
      </c>
      <c r="H660" s="938">
        <f t="shared" si="39"/>
        <v>372068.89980372944</v>
      </c>
      <c r="I660" s="509">
        <f t="shared" si="40"/>
        <v>0</v>
      </c>
      <c r="J660" s="509"/>
      <c r="K660" s="640"/>
      <c r="L660" s="514"/>
      <c r="M660" s="640"/>
      <c r="N660" s="514"/>
      <c r="O660" s="514"/>
    </row>
    <row r="661" spans="3:15">
      <c r="C661" s="505">
        <f>IF(D631="","-",+C660+1)</f>
        <v>2037</v>
      </c>
      <c r="D661" s="469">
        <f t="shared" si="37"/>
        <v>1797043.4841269883</v>
      </c>
      <c r="E661" s="511">
        <f t="shared" si="41"/>
        <v>95418.238095238092</v>
      </c>
      <c r="F661" s="469">
        <f t="shared" si="36"/>
        <v>1701625.2460317502</v>
      </c>
      <c r="G661" s="935">
        <f t="shared" si="38"/>
        <v>357759.38281880756</v>
      </c>
      <c r="H661" s="938">
        <f t="shared" si="39"/>
        <v>357759.38281880756</v>
      </c>
      <c r="I661" s="509">
        <f t="shared" si="40"/>
        <v>0</v>
      </c>
      <c r="J661" s="509"/>
      <c r="K661" s="640"/>
      <c r="L661" s="514"/>
      <c r="M661" s="640"/>
      <c r="N661" s="514"/>
      <c r="O661" s="514"/>
    </row>
    <row r="662" spans="3:15">
      <c r="C662" s="505">
        <f>IF(D631="","-",+C661+1)</f>
        <v>2038</v>
      </c>
      <c r="D662" s="469">
        <f t="shared" si="37"/>
        <v>1701625.2460317502</v>
      </c>
      <c r="E662" s="511">
        <f t="shared" si="41"/>
        <v>95418.238095238092</v>
      </c>
      <c r="F662" s="469">
        <f t="shared" si="36"/>
        <v>1606207.0079365121</v>
      </c>
      <c r="G662" s="935">
        <f t="shared" si="38"/>
        <v>343449.86583388556</v>
      </c>
      <c r="H662" s="938">
        <f t="shared" si="39"/>
        <v>343449.86583388556</v>
      </c>
      <c r="I662" s="509">
        <f t="shared" si="40"/>
        <v>0</v>
      </c>
      <c r="J662" s="509"/>
      <c r="K662" s="640"/>
      <c r="L662" s="514"/>
      <c r="M662" s="640"/>
      <c r="N662" s="514"/>
      <c r="O662" s="514"/>
    </row>
    <row r="663" spans="3:15">
      <c r="C663" s="505">
        <f>IF(D631="","-",+C662+1)</f>
        <v>2039</v>
      </c>
      <c r="D663" s="469">
        <f t="shared" si="37"/>
        <v>1606207.0079365121</v>
      </c>
      <c r="E663" s="511">
        <f t="shared" si="41"/>
        <v>95418.238095238092</v>
      </c>
      <c r="F663" s="469">
        <f t="shared" si="36"/>
        <v>1510788.769841274</v>
      </c>
      <c r="G663" s="935">
        <f t="shared" si="38"/>
        <v>329140.34884896362</v>
      </c>
      <c r="H663" s="938">
        <f t="shared" si="39"/>
        <v>329140.34884896362</v>
      </c>
      <c r="I663" s="509">
        <f t="shared" si="40"/>
        <v>0</v>
      </c>
      <c r="J663" s="509"/>
      <c r="K663" s="640"/>
      <c r="L663" s="514"/>
      <c r="M663" s="640"/>
      <c r="N663" s="514"/>
      <c r="O663" s="514"/>
    </row>
    <row r="664" spans="3:15">
      <c r="C664" s="505">
        <f>IF(D631="","-",+C663+1)</f>
        <v>2040</v>
      </c>
      <c r="D664" s="469">
        <f t="shared" si="37"/>
        <v>1510788.769841274</v>
      </c>
      <c r="E664" s="511">
        <f t="shared" si="41"/>
        <v>95418.238095238092</v>
      </c>
      <c r="F664" s="469">
        <f t="shared" si="36"/>
        <v>1415370.5317460359</v>
      </c>
      <c r="G664" s="935">
        <f t="shared" si="38"/>
        <v>314830.83186404168</v>
      </c>
      <c r="H664" s="938">
        <f t="shared" si="39"/>
        <v>314830.83186404168</v>
      </c>
      <c r="I664" s="509">
        <f t="shared" si="40"/>
        <v>0</v>
      </c>
      <c r="J664" s="509"/>
      <c r="K664" s="640"/>
      <c r="L664" s="514"/>
      <c r="M664" s="640"/>
      <c r="N664" s="514"/>
      <c r="O664" s="514"/>
    </row>
    <row r="665" spans="3:15">
      <c r="C665" s="505">
        <f>IF(D631="","-",+C664+1)</f>
        <v>2041</v>
      </c>
      <c r="D665" s="469">
        <f t="shared" si="37"/>
        <v>1415370.5317460359</v>
      </c>
      <c r="E665" s="511">
        <f t="shared" si="41"/>
        <v>95418.238095238092</v>
      </c>
      <c r="F665" s="469">
        <f t="shared" si="36"/>
        <v>1319952.2936507978</v>
      </c>
      <c r="G665" s="936">
        <f t="shared" si="38"/>
        <v>300521.3148791198</v>
      </c>
      <c r="H665" s="938">
        <f t="shared" si="39"/>
        <v>300521.3148791198</v>
      </c>
      <c r="I665" s="509">
        <f t="shared" si="40"/>
        <v>0</v>
      </c>
      <c r="J665" s="509"/>
      <c r="K665" s="640"/>
      <c r="L665" s="514"/>
      <c r="M665" s="640"/>
      <c r="N665" s="514"/>
      <c r="O665" s="514"/>
    </row>
    <row r="666" spans="3:15">
      <c r="C666" s="505">
        <f>IF(D631="","-",+C665+1)</f>
        <v>2042</v>
      </c>
      <c r="D666" s="469">
        <f t="shared" si="37"/>
        <v>1319952.2936507978</v>
      </c>
      <c r="E666" s="511">
        <f t="shared" si="41"/>
        <v>95418.238095238092</v>
      </c>
      <c r="F666" s="469">
        <f t="shared" si="36"/>
        <v>1224534.0555555597</v>
      </c>
      <c r="G666" s="935">
        <f t="shared" si="38"/>
        <v>286211.79789419781</v>
      </c>
      <c r="H666" s="938">
        <f t="shared" si="39"/>
        <v>286211.79789419781</v>
      </c>
      <c r="I666" s="509">
        <f t="shared" si="40"/>
        <v>0</v>
      </c>
      <c r="J666" s="509"/>
      <c r="K666" s="640"/>
      <c r="L666" s="514"/>
      <c r="M666" s="640"/>
      <c r="N666" s="514"/>
      <c r="O666" s="514"/>
    </row>
    <row r="667" spans="3:15">
      <c r="C667" s="505">
        <f>IF(D631="","-",+C666+1)</f>
        <v>2043</v>
      </c>
      <c r="D667" s="469">
        <f t="shared" si="37"/>
        <v>1224534.0555555597</v>
      </c>
      <c r="E667" s="511">
        <f t="shared" si="41"/>
        <v>95418.238095238092</v>
      </c>
      <c r="F667" s="469">
        <f t="shared" si="36"/>
        <v>1129115.8174603216</v>
      </c>
      <c r="G667" s="935">
        <f t="shared" si="38"/>
        <v>271902.28090927593</v>
      </c>
      <c r="H667" s="938">
        <f t="shared" si="39"/>
        <v>271902.28090927593</v>
      </c>
      <c r="I667" s="509">
        <f t="shared" si="40"/>
        <v>0</v>
      </c>
      <c r="J667" s="509"/>
      <c r="K667" s="640"/>
      <c r="L667" s="514"/>
      <c r="M667" s="640"/>
      <c r="N667" s="514"/>
      <c r="O667" s="514"/>
    </row>
    <row r="668" spans="3:15">
      <c r="C668" s="505">
        <f>IF(D631="","-",+C667+1)</f>
        <v>2044</v>
      </c>
      <c r="D668" s="469">
        <f t="shared" si="37"/>
        <v>1129115.8174603216</v>
      </c>
      <c r="E668" s="511">
        <f t="shared" si="41"/>
        <v>95418.238095238092</v>
      </c>
      <c r="F668" s="469">
        <f t="shared" si="36"/>
        <v>1033697.5793650835</v>
      </c>
      <c r="G668" s="935">
        <f t="shared" si="38"/>
        <v>257592.76392435393</v>
      </c>
      <c r="H668" s="938">
        <f t="shared" si="39"/>
        <v>257592.76392435393</v>
      </c>
      <c r="I668" s="509">
        <f t="shared" si="40"/>
        <v>0</v>
      </c>
      <c r="J668" s="509"/>
      <c r="K668" s="640"/>
      <c r="L668" s="514"/>
      <c r="M668" s="640"/>
      <c r="N668" s="514"/>
      <c r="O668" s="514"/>
    </row>
    <row r="669" spans="3:15">
      <c r="C669" s="505">
        <f>IF(D631="","-",+C668+1)</f>
        <v>2045</v>
      </c>
      <c r="D669" s="469">
        <f t="shared" si="37"/>
        <v>1033697.5793650835</v>
      </c>
      <c r="E669" s="511">
        <f t="shared" si="41"/>
        <v>95418.238095238092</v>
      </c>
      <c r="F669" s="469">
        <f t="shared" si="36"/>
        <v>938279.34126984538</v>
      </c>
      <c r="G669" s="935">
        <f t="shared" si="38"/>
        <v>243283.24693943199</v>
      </c>
      <c r="H669" s="938">
        <f t="shared" si="39"/>
        <v>243283.24693943199</v>
      </c>
      <c r="I669" s="509">
        <f t="shared" si="40"/>
        <v>0</v>
      </c>
      <c r="J669" s="509"/>
      <c r="K669" s="640"/>
      <c r="L669" s="514"/>
      <c r="M669" s="640"/>
      <c r="N669" s="514"/>
      <c r="O669" s="514"/>
    </row>
    <row r="670" spans="3:15">
      <c r="C670" s="505">
        <f>IF(D631="","-",+C669+1)</f>
        <v>2046</v>
      </c>
      <c r="D670" s="469">
        <f t="shared" si="37"/>
        <v>938279.34126984538</v>
      </c>
      <c r="E670" s="511">
        <f t="shared" si="41"/>
        <v>95418.238095238092</v>
      </c>
      <c r="F670" s="469">
        <f t="shared" si="36"/>
        <v>842861.10317460727</v>
      </c>
      <c r="G670" s="935">
        <f t="shared" si="38"/>
        <v>228973.72995451011</v>
      </c>
      <c r="H670" s="938">
        <f t="shared" si="39"/>
        <v>228973.72995451011</v>
      </c>
      <c r="I670" s="509">
        <f t="shared" si="40"/>
        <v>0</v>
      </c>
      <c r="J670" s="509"/>
      <c r="K670" s="640"/>
      <c r="L670" s="514"/>
      <c r="M670" s="640"/>
      <c r="N670" s="514"/>
      <c r="O670" s="514"/>
    </row>
    <row r="671" spans="3:15">
      <c r="C671" s="505">
        <f>IF(D631="","-",+C670+1)</f>
        <v>2047</v>
      </c>
      <c r="D671" s="469">
        <f t="shared" si="37"/>
        <v>842861.10317460727</v>
      </c>
      <c r="E671" s="511">
        <f t="shared" si="41"/>
        <v>95418.238095238092</v>
      </c>
      <c r="F671" s="469">
        <f t="shared" si="36"/>
        <v>747442.86507936916</v>
      </c>
      <c r="G671" s="935">
        <f t="shared" si="38"/>
        <v>214664.21296958814</v>
      </c>
      <c r="H671" s="938">
        <f t="shared" si="39"/>
        <v>214664.21296958814</v>
      </c>
      <c r="I671" s="509">
        <f t="shared" si="40"/>
        <v>0</v>
      </c>
      <c r="J671" s="509"/>
      <c r="K671" s="640"/>
      <c r="L671" s="514"/>
      <c r="M671" s="640"/>
      <c r="N671" s="514"/>
      <c r="O671" s="514"/>
    </row>
    <row r="672" spans="3:15">
      <c r="C672" s="505">
        <f>IF(D631="","-",+C671+1)</f>
        <v>2048</v>
      </c>
      <c r="D672" s="469">
        <f t="shared" si="37"/>
        <v>747442.86507936916</v>
      </c>
      <c r="E672" s="511">
        <f t="shared" si="41"/>
        <v>95418.238095238092</v>
      </c>
      <c r="F672" s="469">
        <f t="shared" si="36"/>
        <v>652024.62698413106</v>
      </c>
      <c r="G672" s="935">
        <f t="shared" si="38"/>
        <v>200354.69598466621</v>
      </c>
      <c r="H672" s="938">
        <f t="shared" si="39"/>
        <v>200354.69598466621</v>
      </c>
      <c r="I672" s="509">
        <f t="shared" si="40"/>
        <v>0</v>
      </c>
      <c r="J672" s="509"/>
      <c r="K672" s="640"/>
      <c r="L672" s="514"/>
      <c r="M672" s="640"/>
      <c r="N672" s="514"/>
      <c r="O672" s="514"/>
    </row>
    <row r="673" spans="3:15">
      <c r="C673" s="505">
        <f>IF(D631="","-",+C672+1)</f>
        <v>2049</v>
      </c>
      <c r="D673" s="469">
        <f t="shared" si="37"/>
        <v>652024.62698413106</v>
      </c>
      <c r="E673" s="511">
        <f t="shared" si="41"/>
        <v>95418.238095238092</v>
      </c>
      <c r="F673" s="469">
        <f t="shared" si="36"/>
        <v>556606.38888889295</v>
      </c>
      <c r="G673" s="935">
        <f t="shared" si="38"/>
        <v>186045.1789997443</v>
      </c>
      <c r="H673" s="938">
        <f t="shared" si="39"/>
        <v>186045.1789997443</v>
      </c>
      <c r="I673" s="509">
        <f t="shared" si="40"/>
        <v>0</v>
      </c>
      <c r="J673" s="509"/>
      <c r="K673" s="640"/>
      <c r="L673" s="514"/>
      <c r="M673" s="640"/>
      <c r="N673" s="514"/>
      <c r="O673" s="514"/>
    </row>
    <row r="674" spans="3:15">
      <c r="C674" s="505">
        <f>IF(D631="","-",+C673+1)</f>
        <v>2050</v>
      </c>
      <c r="D674" s="469">
        <f t="shared" si="37"/>
        <v>556606.38888889295</v>
      </c>
      <c r="E674" s="511">
        <f t="shared" si="41"/>
        <v>95418.238095238092</v>
      </c>
      <c r="F674" s="469">
        <f t="shared" si="36"/>
        <v>461188.15079365484</v>
      </c>
      <c r="G674" s="935">
        <f t="shared" si="38"/>
        <v>171735.66201482236</v>
      </c>
      <c r="H674" s="938">
        <f t="shared" si="39"/>
        <v>171735.66201482236</v>
      </c>
      <c r="I674" s="509">
        <f t="shared" si="40"/>
        <v>0</v>
      </c>
      <c r="J674" s="509"/>
      <c r="K674" s="640"/>
      <c r="L674" s="514"/>
      <c r="M674" s="640"/>
      <c r="N674" s="514"/>
      <c r="O674" s="514"/>
    </row>
    <row r="675" spans="3:15">
      <c r="C675" s="505">
        <f>IF(D631="","-",+C674+1)</f>
        <v>2051</v>
      </c>
      <c r="D675" s="469">
        <f t="shared" si="37"/>
        <v>461188.15079365484</v>
      </c>
      <c r="E675" s="511">
        <f t="shared" si="41"/>
        <v>95418.238095238092</v>
      </c>
      <c r="F675" s="469">
        <f t="shared" si="36"/>
        <v>365769.91269841674</v>
      </c>
      <c r="G675" s="935">
        <f t="shared" si="38"/>
        <v>157426.14502990042</v>
      </c>
      <c r="H675" s="938">
        <f t="shared" si="39"/>
        <v>157426.14502990042</v>
      </c>
      <c r="I675" s="509">
        <f t="shared" si="40"/>
        <v>0</v>
      </c>
      <c r="J675" s="509"/>
      <c r="K675" s="640"/>
      <c r="L675" s="514"/>
      <c r="M675" s="640"/>
      <c r="N675" s="514"/>
      <c r="O675" s="514"/>
    </row>
    <row r="676" spans="3:15">
      <c r="C676" s="505">
        <f>IF(D631="","-",+C675+1)</f>
        <v>2052</v>
      </c>
      <c r="D676" s="469">
        <f t="shared" si="37"/>
        <v>365769.91269841674</v>
      </c>
      <c r="E676" s="511">
        <f t="shared" si="41"/>
        <v>95418.238095238092</v>
      </c>
      <c r="F676" s="469">
        <f t="shared" si="36"/>
        <v>270351.67460317863</v>
      </c>
      <c r="G676" s="935">
        <f t="shared" si="38"/>
        <v>143116.62804497848</v>
      </c>
      <c r="H676" s="938">
        <f t="shared" si="39"/>
        <v>143116.62804497848</v>
      </c>
      <c r="I676" s="509">
        <f t="shared" si="40"/>
        <v>0</v>
      </c>
      <c r="J676" s="509"/>
      <c r="K676" s="640"/>
      <c r="L676" s="514"/>
      <c r="M676" s="640"/>
      <c r="N676" s="514"/>
      <c r="O676" s="514"/>
    </row>
    <row r="677" spans="3:15">
      <c r="C677" s="505">
        <f>IF(D631="","-",+C676+1)</f>
        <v>2053</v>
      </c>
      <c r="D677" s="469">
        <f t="shared" si="37"/>
        <v>270351.67460317863</v>
      </c>
      <c r="E677" s="511">
        <f t="shared" si="41"/>
        <v>95418.238095238092</v>
      </c>
      <c r="F677" s="469">
        <f t="shared" si="36"/>
        <v>174933.43650794053</v>
      </c>
      <c r="G677" s="935">
        <f t="shared" si="38"/>
        <v>128807.11106005654</v>
      </c>
      <c r="H677" s="938">
        <f t="shared" si="39"/>
        <v>128807.11106005654</v>
      </c>
      <c r="I677" s="509">
        <f t="shared" si="40"/>
        <v>0</v>
      </c>
      <c r="J677" s="509"/>
      <c r="K677" s="640"/>
      <c r="L677" s="514"/>
      <c r="M677" s="640"/>
      <c r="N677" s="514"/>
      <c r="O677" s="514"/>
    </row>
    <row r="678" spans="3:15">
      <c r="C678" s="505">
        <f>IF(D631="","-",+C677+1)</f>
        <v>2054</v>
      </c>
      <c r="D678" s="469">
        <f t="shared" si="37"/>
        <v>174933.43650794053</v>
      </c>
      <c r="E678" s="511">
        <f t="shared" si="41"/>
        <v>95418.238095238092</v>
      </c>
      <c r="F678" s="469">
        <f t="shared" si="36"/>
        <v>79515.198412702433</v>
      </c>
      <c r="G678" s="935">
        <f t="shared" si="38"/>
        <v>114497.59407513461</v>
      </c>
      <c r="H678" s="938">
        <f t="shared" si="39"/>
        <v>114497.59407513461</v>
      </c>
      <c r="I678" s="509">
        <f t="shared" si="40"/>
        <v>0</v>
      </c>
      <c r="J678" s="509"/>
      <c r="K678" s="640"/>
      <c r="L678" s="514"/>
      <c r="M678" s="640"/>
      <c r="N678" s="514"/>
      <c r="O678" s="514"/>
    </row>
    <row r="679" spans="3:15">
      <c r="C679" s="505">
        <f>IF(D631="","-",+C678+1)</f>
        <v>2055</v>
      </c>
      <c r="D679" s="469">
        <f t="shared" si="37"/>
        <v>79515.198412702433</v>
      </c>
      <c r="E679" s="511">
        <f t="shared" si="41"/>
        <v>79515.198412702433</v>
      </c>
      <c r="F679" s="469">
        <f t="shared" si="36"/>
        <v>0</v>
      </c>
      <c r="G679" s="935">
        <f t="shared" si="38"/>
        <v>85477.497156420213</v>
      </c>
      <c r="H679" s="938">
        <f t="shared" si="39"/>
        <v>85477.497156420213</v>
      </c>
      <c r="I679" s="509">
        <f t="shared" si="40"/>
        <v>0</v>
      </c>
      <c r="J679" s="509"/>
      <c r="K679" s="640"/>
      <c r="L679" s="514"/>
      <c r="M679" s="640"/>
      <c r="N679" s="514"/>
      <c r="O679" s="514"/>
    </row>
    <row r="680" spans="3:15">
      <c r="C680" s="505">
        <f>IF(D631="","-",+C679+1)</f>
        <v>2056</v>
      </c>
      <c r="D680" s="469">
        <f t="shared" si="37"/>
        <v>0</v>
      </c>
      <c r="E680" s="511">
        <f t="shared" si="41"/>
        <v>0</v>
      </c>
      <c r="F680" s="469">
        <f t="shared" si="36"/>
        <v>0</v>
      </c>
      <c r="G680" s="935">
        <f t="shared" si="38"/>
        <v>0</v>
      </c>
      <c r="H680" s="938">
        <f t="shared" si="39"/>
        <v>0</v>
      </c>
      <c r="I680" s="509">
        <f t="shared" si="40"/>
        <v>0</v>
      </c>
      <c r="J680" s="509"/>
      <c r="K680" s="640"/>
      <c r="L680" s="514"/>
      <c r="M680" s="640"/>
      <c r="N680" s="514"/>
      <c r="O680" s="514"/>
    </row>
    <row r="681" spans="3:15">
      <c r="C681" s="505">
        <f>IF(D631="","-",+C680+1)</f>
        <v>2057</v>
      </c>
      <c r="D681" s="469">
        <f t="shared" si="37"/>
        <v>0</v>
      </c>
      <c r="E681" s="511">
        <f t="shared" si="41"/>
        <v>0</v>
      </c>
      <c r="F681" s="469">
        <f t="shared" si="36"/>
        <v>0</v>
      </c>
      <c r="G681" s="935">
        <f t="shared" si="38"/>
        <v>0</v>
      </c>
      <c r="H681" s="938">
        <f t="shared" si="39"/>
        <v>0</v>
      </c>
      <c r="I681" s="509">
        <f t="shared" si="40"/>
        <v>0</v>
      </c>
      <c r="J681" s="509"/>
      <c r="K681" s="640"/>
      <c r="L681" s="514"/>
      <c r="M681" s="640"/>
      <c r="N681" s="514"/>
      <c r="O681" s="514"/>
    </row>
    <row r="682" spans="3:15">
      <c r="C682" s="505">
        <f>IF(D631="","-",+C681+1)</f>
        <v>2058</v>
      </c>
      <c r="D682" s="469">
        <f t="shared" si="37"/>
        <v>0</v>
      </c>
      <c r="E682" s="511">
        <f t="shared" si="41"/>
        <v>0</v>
      </c>
      <c r="F682" s="469">
        <f t="shared" si="36"/>
        <v>0</v>
      </c>
      <c r="G682" s="935">
        <f t="shared" si="38"/>
        <v>0</v>
      </c>
      <c r="H682" s="938">
        <f t="shared" si="39"/>
        <v>0</v>
      </c>
      <c r="I682" s="509">
        <f t="shared" si="40"/>
        <v>0</v>
      </c>
      <c r="J682" s="509"/>
      <c r="K682" s="640"/>
      <c r="L682" s="514"/>
      <c r="M682" s="640"/>
      <c r="N682" s="514"/>
      <c r="O682" s="514"/>
    </row>
    <row r="683" spans="3:15">
      <c r="C683" s="505">
        <f>IF(D631="","-",+C682+1)</f>
        <v>2059</v>
      </c>
      <c r="D683" s="469">
        <f t="shared" si="37"/>
        <v>0</v>
      </c>
      <c r="E683" s="511">
        <f t="shared" si="41"/>
        <v>0</v>
      </c>
      <c r="F683" s="469">
        <f t="shared" si="36"/>
        <v>0</v>
      </c>
      <c r="G683" s="935">
        <f t="shared" si="38"/>
        <v>0</v>
      </c>
      <c r="H683" s="938">
        <f t="shared" si="39"/>
        <v>0</v>
      </c>
      <c r="I683" s="509">
        <f t="shared" si="40"/>
        <v>0</v>
      </c>
      <c r="J683" s="509"/>
      <c r="K683" s="640"/>
      <c r="L683" s="514"/>
      <c r="M683" s="640"/>
      <c r="N683" s="514"/>
      <c r="O683" s="514"/>
    </row>
    <row r="684" spans="3:15">
      <c r="C684" s="505">
        <f>IF(D631="","-",+C683+1)</f>
        <v>2060</v>
      </c>
      <c r="D684" s="469">
        <f t="shared" si="37"/>
        <v>0</v>
      </c>
      <c r="E684" s="511">
        <f t="shared" si="41"/>
        <v>0</v>
      </c>
      <c r="F684" s="469">
        <f t="shared" si="36"/>
        <v>0</v>
      </c>
      <c r="G684" s="935">
        <f t="shared" si="38"/>
        <v>0</v>
      </c>
      <c r="H684" s="938">
        <f t="shared" si="39"/>
        <v>0</v>
      </c>
      <c r="I684" s="509">
        <f t="shared" si="40"/>
        <v>0</v>
      </c>
      <c r="J684" s="509"/>
      <c r="K684" s="640"/>
      <c r="L684" s="514"/>
      <c r="M684" s="640"/>
      <c r="N684" s="514"/>
      <c r="O684" s="514"/>
    </row>
    <row r="685" spans="3:15">
      <c r="C685" s="505">
        <f>IF(D631="","-",+C684+1)</f>
        <v>2061</v>
      </c>
      <c r="D685" s="469">
        <f t="shared" si="37"/>
        <v>0</v>
      </c>
      <c r="E685" s="511">
        <f t="shared" si="41"/>
        <v>0</v>
      </c>
      <c r="F685" s="469">
        <f t="shared" si="36"/>
        <v>0</v>
      </c>
      <c r="G685" s="935">
        <f t="shared" si="38"/>
        <v>0</v>
      </c>
      <c r="H685" s="938">
        <f t="shared" si="39"/>
        <v>0</v>
      </c>
      <c r="I685" s="509">
        <f t="shared" si="40"/>
        <v>0</v>
      </c>
      <c r="J685" s="509"/>
      <c r="K685" s="640"/>
      <c r="L685" s="514"/>
      <c r="M685" s="640"/>
      <c r="N685" s="514"/>
      <c r="O685" s="514"/>
    </row>
    <row r="686" spans="3:15">
      <c r="C686" s="505">
        <f>IF(D631="","-",+C685+1)</f>
        <v>2062</v>
      </c>
      <c r="D686" s="469">
        <f t="shared" si="37"/>
        <v>0</v>
      </c>
      <c r="E686" s="511">
        <f t="shared" si="41"/>
        <v>0</v>
      </c>
      <c r="F686" s="469">
        <f t="shared" si="36"/>
        <v>0</v>
      </c>
      <c r="G686" s="935">
        <f t="shared" si="38"/>
        <v>0</v>
      </c>
      <c r="H686" s="938">
        <f t="shared" si="39"/>
        <v>0</v>
      </c>
      <c r="I686" s="509">
        <f t="shared" si="40"/>
        <v>0</v>
      </c>
      <c r="J686" s="509"/>
      <c r="K686" s="640"/>
      <c r="L686" s="514"/>
      <c r="M686" s="640"/>
      <c r="N686" s="514"/>
      <c r="O686" s="514"/>
    </row>
    <row r="687" spans="3:15">
      <c r="C687" s="505">
        <f>IF(D631="","-",+C686+1)</f>
        <v>2063</v>
      </c>
      <c r="D687" s="469">
        <f t="shared" si="37"/>
        <v>0</v>
      </c>
      <c r="E687" s="511">
        <f t="shared" si="41"/>
        <v>0</v>
      </c>
      <c r="F687" s="469">
        <f t="shared" si="36"/>
        <v>0</v>
      </c>
      <c r="G687" s="935">
        <f t="shared" si="38"/>
        <v>0</v>
      </c>
      <c r="H687" s="938">
        <f t="shared" si="39"/>
        <v>0</v>
      </c>
      <c r="I687" s="509">
        <f t="shared" si="40"/>
        <v>0</v>
      </c>
      <c r="J687" s="509"/>
      <c r="K687" s="640"/>
      <c r="L687" s="514"/>
      <c r="M687" s="640"/>
      <c r="N687" s="514"/>
      <c r="O687" s="514"/>
    </row>
    <row r="688" spans="3:15">
      <c r="C688" s="505">
        <f>IF(D631="","-",+C687+1)</f>
        <v>2064</v>
      </c>
      <c r="D688" s="469">
        <f t="shared" si="37"/>
        <v>0</v>
      </c>
      <c r="E688" s="511">
        <f t="shared" si="41"/>
        <v>0</v>
      </c>
      <c r="F688" s="469">
        <f t="shared" si="36"/>
        <v>0</v>
      </c>
      <c r="G688" s="935">
        <f t="shared" si="38"/>
        <v>0</v>
      </c>
      <c r="H688" s="938">
        <f t="shared" si="39"/>
        <v>0</v>
      </c>
      <c r="I688" s="509">
        <f t="shared" si="40"/>
        <v>0</v>
      </c>
      <c r="J688" s="509"/>
      <c r="K688" s="640"/>
      <c r="L688" s="514"/>
      <c r="M688" s="640"/>
      <c r="N688" s="514"/>
      <c r="O688" s="514"/>
    </row>
    <row r="689" spans="3:15">
      <c r="C689" s="505">
        <f>IF(D631="","-",+C688+1)</f>
        <v>2065</v>
      </c>
      <c r="D689" s="469">
        <f t="shared" si="37"/>
        <v>0</v>
      </c>
      <c r="E689" s="511">
        <f t="shared" si="41"/>
        <v>0</v>
      </c>
      <c r="F689" s="469">
        <f t="shared" si="36"/>
        <v>0</v>
      </c>
      <c r="G689" s="935">
        <f t="shared" si="38"/>
        <v>0</v>
      </c>
      <c r="H689" s="938">
        <f t="shared" si="39"/>
        <v>0</v>
      </c>
      <c r="I689" s="509">
        <f t="shared" si="40"/>
        <v>0</v>
      </c>
      <c r="J689" s="509"/>
      <c r="K689" s="640"/>
      <c r="L689" s="514"/>
      <c r="M689" s="640"/>
      <c r="N689" s="514"/>
      <c r="O689" s="514"/>
    </row>
    <row r="690" spans="3:15">
      <c r="C690" s="505">
        <f>IF(D631="","-",+C689+1)</f>
        <v>2066</v>
      </c>
      <c r="D690" s="469">
        <f t="shared" si="37"/>
        <v>0</v>
      </c>
      <c r="E690" s="511">
        <f t="shared" si="41"/>
        <v>0</v>
      </c>
      <c r="F690" s="469">
        <f t="shared" si="36"/>
        <v>0</v>
      </c>
      <c r="G690" s="935">
        <f t="shared" si="38"/>
        <v>0</v>
      </c>
      <c r="H690" s="938">
        <f t="shared" si="39"/>
        <v>0</v>
      </c>
      <c r="I690" s="509">
        <f t="shared" si="40"/>
        <v>0</v>
      </c>
      <c r="J690" s="509"/>
      <c r="K690" s="640"/>
      <c r="L690" s="514"/>
      <c r="M690" s="640"/>
      <c r="N690" s="514"/>
      <c r="O690" s="514"/>
    </row>
    <row r="691" spans="3:15">
      <c r="C691" s="505">
        <f>IF(D631="","-",+C690+1)</f>
        <v>2067</v>
      </c>
      <c r="D691" s="469">
        <f t="shared" si="37"/>
        <v>0</v>
      </c>
      <c r="E691" s="511">
        <f t="shared" si="41"/>
        <v>0</v>
      </c>
      <c r="F691" s="469">
        <f t="shared" si="36"/>
        <v>0</v>
      </c>
      <c r="G691" s="935">
        <f t="shared" si="38"/>
        <v>0</v>
      </c>
      <c r="H691" s="938">
        <f t="shared" si="39"/>
        <v>0</v>
      </c>
      <c r="I691" s="509">
        <f t="shared" si="40"/>
        <v>0</v>
      </c>
      <c r="J691" s="509"/>
      <c r="K691" s="640"/>
      <c r="L691" s="514"/>
      <c r="M691" s="640"/>
      <c r="N691" s="514"/>
      <c r="O691" s="514"/>
    </row>
    <row r="692" spans="3:15">
      <c r="C692" s="505">
        <f>IF(D631="","-",+C691+1)</f>
        <v>2068</v>
      </c>
      <c r="D692" s="469">
        <f t="shared" si="37"/>
        <v>0</v>
      </c>
      <c r="E692" s="511">
        <f t="shared" si="41"/>
        <v>0</v>
      </c>
      <c r="F692" s="469">
        <f t="shared" si="36"/>
        <v>0</v>
      </c>
      <c r="G692" s="935">
        <f t="shared" si="38"/>
        <v>0</v>
      </c>
      <c r="H692" s="938">
        <f t="shared" si="39"/>
        <v>0</v>
      </c>
      <c r="I692" s="509">
        <f t="shared" si="40"/>
        <v>0</v>
      </c>
      <c r="J692" s="509"/>
      <c r="K692" s="640"/>
      <c r="L692" s="514"/>
      <c r="M692" s="640"/>
      <c r="N692" s="514"/>
      <c r="O692" s="514"/>
    </row>
    <row r="693" spans="3:15">
      <c r="C693" s="505">
        <f>IF(D631="","-",+C692+1)</f>
        <v>2069</v>
      </c>
      <c r="D693" s="469">
        <f t="shared" si="37"/>
        <v>0</v>
      </c>
      <c r="E693" s="511">
        <f t="shared" si="41"/>
        <v>0</v>
      </c>
      <c r="F693" s="469">
        <f t="shared" si="36"/>
        <v>0</v>
      </c>
      <c r="G693" s="935">
        <f t="shared" si="38"/>
        <v>0</v>
      </c>
      <c r="H693" s="938">
        <f t="shared" si="39"/>
        <v>0</v>
      </c>
      <c r="I693" s="509">
        <f t="shared" si="40"/>
        <v>0</v>
      </c>
      <c r="J693" s="509"/>
      <c r="K693" s="640"/>
      <c r="L693" s="514"/>
      <c r="M693" s="640"/>
      <c r="N693" s="514"/>
      <c r="O693" s="514"/>
    </row>
    <row r="694" spans="3:15">
      <c r="C694" s="505">
        <f>IF(D631="","-",+C693+1)</f>
        <v>2070</v>
      </c>
      <c r="D694" s="469">
        <f t="shared" si="37"/>
        <v>0</v>
      </c>
      <c r="E694" s="511">
        <f t="shared" si="41"/>
        <v>0</v>
      </c>
      <c r="F694" s="469">
        <f t="shared" si="36"/>
        <v>0</v>
      </c>
      <c r="G694" s="935">
        <f t="shared" si="38"/>
        <v>0</v>
      </c>
      <c r="H694" s="938">
        <f t="shared" si="39"/>
        <v>0</v>
      </c>
      <c r="I694" s="509">
        <f t="shared" si="40"/>
        <v>0</v>
      </c>
      <c r="J694" s="509"/>
      <c r="K694" s="640"/>
      <c r="L694" s="514"/>
      <c r="M694" s="640"/>
      <c r="N694" s="514"/>
      <c r="O694" s="514"/>
    </row>
    <row r="695" spans="3:15">
      <c r="C695" s="505">
        <f>IF(D631="","-",+C694+1)</f>
        <v>2071</v>
      </c>
      <c r="D695" s="469">
        <f t="shared" si="37"/>
        <v>0</v>
      </c>
      <c r="E695" s="511">
        <f t="shared" si="41"/>
        <v>0</v>
      </c>
      <c r="F695" s="469">
        <f t="shared" si="36"/>
        <v>0</v>
      </c>
      <c r="G695" s="935">
        <f t="shared" si="38"/>
        <v>0</v>
      </c>
      <c r="H695" s="938">
        <f t="shared" si="39"/>
        <v>0</v>
      </c>
      <c r="I695" s="509">
        <f t="shared" si="40"/>
        <v>0</v>
      </c>
      <c r="J695" s="509"/>
      <c r="K695" s="640"/>
      <c r="L695" s="514"/>
      <c r="M695" s="640"/>
      <c r="N695" s="514"/>
      <c r="O695" s="514"/>
    </row>
    <row r="696" spans="3:15" ht="13.5" thickBot="1">
      <c r="C696" s="515">
        <f>IF(D631="","-",+C695+1)</f>
        <v>2072</v>
      </c>
      <c r="D696" s="516">
        <f t="shared" si="37"/>
        <v>0</v>
      </c>
      <c r="E696" s="517">
        <f t="shared" si="41"/>
        <v>0</v>
      </c>
      <c r="F696" s="516">
        <f t="shared" si="36"/>
        <v>0</v>
      </c>
      <c r="G696" s="946">
        <f t="shared" si="38"/>
        <v>0</v>
      </c>
      <c r="H696" s="946">
        <f t="shared" si="39"/>
        <v>0</v>
      </c>
      <c r="I696" s="519">
        <f t="shared" si="40"/>
        <v>0</v>
      </c>
      <c r="J696" s="509"/>
      <c r="K696" s="641"/>
      <c r="L696" s="521"/>
      <c r="M696" s="641"/>
      <c r="N696" s="521"/>
      <c r="O696" s="521"/>
    </row>
    <row r="697" spans="3:15">
      <c r="C697" s="469" t="s">
        <v>288</v>
      </c>
      <c r="D697" s="915"/>
      <c r="E697" s="469"/>
      <c r="F697" s="915"/>
      <c r="G697" s="915">
        <f>SUM(G637:G696)</f>
        <v>17129393.075173438</v>
      </c>
      <c r="H697" s="915">
        <f>SUM(H637:H696)</f>
        <v>17129393.075173438</v>
      </c>
      <c r="I697" s="915">
        <f>SUM(I637:I696)</f>
        <v>0</v>
      </c>
      <c r="J697" s="915"/>
      <c r="K697" s="915"/>
      <c r="L697" s="915"/>
      <c r="M697" s="915"/>
      <c r="N697" s="915"/>
      <c r="O697" s="4"/>
    </row>
    <row r="698" spans="3:15">
      <c r="D698" s="79"/>
      <c r="E698" s="4"/>
      <c r="F698" s="4"/>
      <c r="G698" s="4"/>
      <c r="H698" s="914"/>
      <c r="I698" s="914"/>
      <c r="J698" s="915"/>
      <c r="K698" s="914"/>
      <c r="L698" s="914"/>
      <c r="M698" s="914"/>
      <c r="N698" s="914"/>
      <c r="O698" s="4"/>
    </row>
    <row r="699" spans="3:15">
      <c r="C699" s="4" t="s">
        <v>595</v>
      </c>
      <c r="D699" s="79"/>
      <c r="E699" s="4"/>
      <c r="F699" s="4"/>
      <c r="G699" s="4"/>
      <c r="H699" s="914"/>
      <c r="I699" s="914"/>
      <c r="J699" s="915"/>
      <c r="K699" s="914"/>
      <c r="L699" s="914"/>
      <c r="M699" s="914"/>
      <c r="N699" s="914"/>
      <c r="O699" s="4"/>
    </row>
    <row r="700" spans="3:15">
      <c r="C700" s="4"/>
      <c r="D700" s="79"/>
      <c r="E700" s="4"/>
      <c r="F700" s="4"/>
      <c r="G700" s="4"/>
      <c r="H700" s="914"/>
      <c r="I700" s="914"/>
      <c r="J700" s="915"/>
      <c r="K700" s="914"/>
      <c r="L700" s="914"/>
      <c r="M700" s="914"/>
      <c r="N700" s="914"/>
      <c r="O700" s="4"/>
    </row>
    <row r="701" spans="3:15">
      <c r="C701" s="479" t="s">
        <v>924</v>
      </c>
      <c r="D701" s="469"/>
      <c r="E701" s="469"/>
      <c r="F701" s="469"/>
      <c r="G701" s="915"/>
      <c r="H701" s="915"/>
      <c r="I701" s="471"/>
      <c r="J701" s="471"/>
      <c r="K701" s="471"/>
      <c r="L701" s="471"/>
      <c r="M701" s="471"/>
      <c r="N701" s="471"/>
      <c r="O701" s="4"/>
    </row>
    <row r="702" spans="3:15">
      <c r="C702" s="479" t="s">
        <v>476</v>
      </c>
      <c r="D702" s="469"/>
      <c r="E702" s="469"/>
      <c r="F702" s="469"/>
      <c r="G702" s="915"/>
      <c r="H702" s="915"/>
      <c r="I702" s="471"/>
      <c r="J702" s="471"/>
      <c r="K702" s="471"/>
      <c r="L702" s="471"/>
      <c r="M702" s="471"/>
      <c r="N702" s="471"/>
      <c r="O702" s="4"/>
    </row>
    <row r="703" spans="3:15">
      <c r="C703" s="470" t="s">
        <v>289</v>
      </c>
      <c r="D703" s="469"/>
      <c r="E703" s="469"/>
      <c r="F703" s="469"/>
      <c r="G703" s="915"/>
      <c r="H703" s="915"/>
      <c r="I703" s="471"/>
      <c r="J703" s="471"/>
      <c r="K703" s="471"/>
      <c r="L703" s="471"/>
      <c r="M703" s="471"/>
      <c r="N703" s="471"/>
      <c r="O703" s="4"/>
    </row>
    <row r="704" spans="3:15">
      <c r="C704" s="470"/>
      <c r="D704" s="469"/>
      <c r="E704" s="469"/>
      <c r="F704" s="469"/>
      <c r="G704" s="915"/>
      <c r="H704" s="915"/>
      <c r="I704" s="471"/>
      <c r="J704" s="471"/>
      <c r="K704" s="471"/>
      <c r="L704" s="471"/>
      <c r="M704" s="471"/>
      <c r="N704" s="471"/>
      <c r="O704" s="4"/>
    </row>
    <row r="705" spans="1:16">
      <c r="C705" s="1275" t="s">
        <v>460</v>
      </c>
      <c r="D705" s="1275"/>
      <c r="E705" s="1275"/>
      <c r="F705" s="1275"/>
      <c r="G705" s="1275"/>
      <c r="H705" s="1275"/>
      <c r="I705" s="1275"/>
      <c r="J705" s="1275"/>
      <c r="K705" s="1275"/>
      <c r="L705" s="1275"/>
      <c r="M705" s="1275"/>
      <c r="N705" s="1275"/>
      <c r="O705" s="1275"/>
    </row>
    <row r="706" spans="1:16">
      <c r="C706" s="1275"/>
      <c r="D706" s="1275"/>
      <c r="E706" s="1275"/>
      <c r="F706" s="1275"/>
      <c r="G706" s="1275"/>
      <c r="H706" s="1275"/>
      <c r="I706" s="1275"/>
      <c r="J706" s="1275"/>
      <c r="K706" s="1275"/>
      <c r="L706" s="1275"/>
      <c r="M706" s="1275"/>
      <c r="N706" s="1275"/>
      <c r="O706" s="1275"/>
    </row>
    <row r="707" spans="1:16" ht="20.25">
      <c r="A707" s="411" t="s">
        <v>921</v>
      </c>
      <c r="B707" s="4"/>
      <c r="C707" s="4"/>
      <c r="D707" s="79"/>
      <c r="E707" s="4"/>
      <c r="F707" s="81"/>
      <c r="G707" s="4"/>
      <c r="H707" s="914"/>
      <c r="K707" s="11"/>
      <c r="L707" s="11"/>
      <c r="M707" s="11"/>
      <c r="N707" s="11" t="str">
        <f>"Page "&amp;SUM(P$6:P707)&amp;" of "</f>
        <v xml:space="preserve">Page 8 of </v>
      </c>
      <c r="O707" s="412">
        <f>COUNT(P$6:P$59579)</f>
        <v>22</v>
      </c>
      <c r="P707" s="4">
        <v>1</v>
      </c>
    </row>
    <row r="708" spans="1:16">
      <c r="B708" s="4"/>
      <c r="C708" s="4"/>
      <c r="D708" s="79"/>
      <c r="E708" s="4"/>
      <c r="F708" s="4"/>
      <c r="G708" s="4"/>
      <c r="H708" s="914"/>
      <c r="I708" s="4"/>
      <c r="J708" s="4"/>
      <c r="K708" s="4"/>
      <c r="L708" s="4"/>
      <c r="M708" s="4"/>
      <c r="N708" s="4"/>
      <c r="O708" s="4"/>
    </row>
    <row r="709" spans="1:16" ht="18">
      <c r="B709" s="413" t="s">
        <v>174</v>
      </c>
      <c r="C709" s="472" t="s">
        <v>290</v>
      </c>
      <c r="D709" s="79"/>
      <c r="E709" s="4"/>
      <c r="F709" s="4"/>
      <c r="G709" s="4"/>
      <c r="H709" s="914"/>
      <c r="I709" s="914"/>
      <c r="J709" s="915"/>
      <c r="K709" s="914"/>
      <c r="L709" s="914"/>
      <c r="M709" s="914"/>
      <c r="N709" s="914"/>
      <c r="O709" s="4"/>
    </row>
    <row r="710" spans="1:16" ht="18.75">
      <c r="B710" s="413"/>
      <c r="C710" s="13"/>
      <c r="D710" s="79"/>
      <c r="E710" s="4"/>
      <c r="F710" s="4"/>
      <c r="G710" s="4"/>
      <c r="H710" s="914"/>
      <c r="I710" s="914"/>
      <c r="J710" s="915"/>
      <c r="K710" s="914"/>
      <c r="L710" s="914"/>
      <c r="M710" s="914"/>
      <c r="N710" s="914"/>
      <c r="O710" s="4"/>
    </row>
    <row r="711" spans="1:16" ht="18.75">
      <c r="B711" s="413"/>
      <c r="C711" s="13" t="s">
        <v>291</v>
      </c>
      <c r="D711" s="79"/>
      <c r="E711" s="4"/>
      <c r="F711" s="4"/>
      <c r="G711" s="4"/>
      <c r="H711" s="914"/>
      <c r="I711" s="914"/>
      <c r="J711" s="915"/>
      <c r="K711" s="914"/>
      <c r="L711" s="914"/>
      <c r="M711" s="914"/>
      <c r="N711" s="914"/>
      <c r="O711" s="4"/>
    </row>
    <row r="712" spans="1:16" ht="15.75" thickBot="1">
      <c r="C712" s="247"/>
      <c r="D712" s="79"/>
      <c r="E712" s="4"/>
      <c r="F712" s="4"/>
      <c r="G712" s="4"/>
      <c r="H712" s="914"/>
      <c r="I712" s="914"/>
      <c r="J712" s="915"/>
      <c r="K712" s="914"/>
      <c r="L712" s="914"/>
      <c r="M712" s="914"/>
      <c r="N712" s="914"/>
      <c r="O712" s="4"/>
    </row>
    <row r="713" spans="1:16" ht="15.75">
      <c r="C713" s="414" t="s">
        <v>292</v>
      </c>
      <c r="D713" s="79"/>
      <c r="E713" s="4"/>
      <c r="F713" s="4"/>
      <c r="G713" s="948"/>
      <c r="H713" s="4" t="s">
        <v>271</v>
      </c>
      <c r="I713" s="4"/>
      <c r="J713" s="4"/>
      <c r="K713" s="473" t="s">
        <v>296</v>
      </c>
      <c r="L713" s="474"/>
      <c r="M713" s="475"/>
      <c r="N713" s="917">
        <f>VLOOKUP(I719,C726:O785,5)</f>
        <v>18274.590980699035</v>
      </c>
      <c r="O713" s="4"/>
    </row>
    <row r="714" spans="1:16" ht="15.75">
      <c r="C714" s="414"/>
      <c r="D714" s="79"/>
      <c r="E714" s="4"/>
      <c r="F714" s="4"/>
      <c r="G714" s="4"/>
      <c r="H714" s="918"/>
      <c r="I714" s="918"/>
      <c r="J714" s="919"/>
      <c r="K714" s="478" t="s">
        <v>297</v>
      </c>
      <c r="L714" s="920"/>
      <c r="M714" s="4"/>
      <c r="N714" s="921">
        <f>VLOOKUP(I719,C726:O785,6)</f>
        <v>18274.590980699035</v>
      </c>
      <c r="O714" s="4"/>
    </row>
    <row r="715" spans="1:16" ht="13.5" thickBot="1">
      <c r="C715" s="479" t="s">
        <v>293</v>
      </c>
      <c r="D715" s="956" t="s">
        <v>931</v>
      </c>
      <c r="E715" s="953"/>
      <c r="F715" s="953"/>
      <c r="G715" s="953"/>
      <c r="H715" s="643"/>
      <c r="I715" s="643"/>
      <c r="J715" s="915"/>
      <c r="K715" s="922" t="s">
        <v>450</v>
      </c>
      <c r="L715" s="923"/>
      <c r="M715" s="923"/>
      <c r="N715" s="924">
        <f>+N714-N713</f>
        <v>0</v>
      </c>
      <c r="O715" s="4"/>
    </row>
    <row r="716" spans="1:16">
      <c r="C716" s="481"/>
      <c r="D716" s="482"/>
      <c r="E716" s="469"/>
      <c r="F716" s="469"/>
      <c r="G716" s="483"/>
      <c r="H716" s="914"/>
      <c r="I716" s="914"/>
      <c r="J716" s="915"/>
      <c r="K716" s="914"/>
      <c r="L716" s="914"/>
      <c r="M716" s="914"/>
      <c r="N716" s="914"/>
      <c r="O716" s="4"/>
    </row>
    <row r="717" spans="1:16" ht="13.5" thickBot="1">
      <c r="C717" s="481"/>
      <c r="D717" s="925"/>
      <c r="E717" s="483"/>
      <c r="F717" s="483"/>
      <c r="G717" s="483"/>
      <c r="H717" s="483"/>
      <c r="I717" s="483"/>
      <c r="J717" s="483"/>
      <c r="K717" s="483"/>
      <c r="L717" s="483"/>
      <c r="M717" s="483"/>
      <c r="N717" s="483"/>
      <c r="O717" s="4"/>
    </row>
    <row r="718" spans="1:16" ht="13.5" thickBot="1">
      <c r="C718" s="484" t="s">
        <v>294</v>
      </c>
      <c r="D718" s="485"/>
      <c r="E718" s="485"/>
      <c r="F718" s="485"/>
      <c r="G718" s="485"/>
      <c r="H718" s="485"/>
      <c r="I718" s="486"/>
      <c r="K718" s="4"/>
      <c r="L718" s="4"/>
      <c r="M718" s="4"/>
      <c r="N718" s="4"/>
      <c r="O718" s="4"/>
    </row>
    <row r="719" spans="1:16" ht="15">
      <c r="C719" s="487" t="s">
        <v>272</v>
      </c>
      <c r="D719" s="926">
        <v>118332</v>
      </c>
      <c r="E719" s="4" t="s">
        <v>273</v>
      </c>
      <c r="G719" s="79"/>
      <c r="H719" s="79"/>
      <c r="I719" s="488">
        <v>2018</v>
      </c>
      <c r="J719" s="135"/>
      <c r="K719" s="1277" t="s">
        <v>459</v>
      </c>
      <c r="L719" s="1277"/>
      <c r="M719" s="1277"/>
      <c r="N719" s="1277"/>
      <c r="O719" s="1277"/>
    </row>
    <row r="720" spans="1:16">
      <c r="C720" s="487" t="s">
        <v>275</v>
      </c>
      <c r="D720" s="636">
        <v>2013</v>
      </c>
      <c r="E720" s="487" t="s">
        <v>276</v>
      </c>
      <c r="F720" s="79"/>
      <c r="H720"/>
      <c r="I720" s="927">
        <f>IF(G713="",0,$F$15)</f>
        <v>0</v>
      </c>
      <c r="J720" s="489"/>
      <c r="K720" s="915" t="s">
        <v>459</v>
      </c>
    </row>
    <row r="721" spans="1:15">
      <c r="C721" s="487" t="s">
        <v>277</v>
      </c>
      <c r="D721" s="926">
        <v>1</v>
      </c>
      <c r="E721" s="487" t="s">
        <v>278</v>
      </c>
      <c r="F721" s="79"/>
      <c r="H721"/>
      <c r="I721" s="490">
        <f>$G$70</f>
        <v>0.14996626714737105</v>
      </c>
      <c r="J721" s="81"/>
      <c r="K721" t="str">
        <f>"          INPUT PROJECTED ARR (WITH &amp; WITHOUT INCENTIVES) FROM EACH PRIOR YEAR"</f>
        <v xml:space="preserve">          INPUT PROJECTED ARR (WITH &amp; WITHOUT INCENTIVES) FROM EACH PRIOR YEAR</v>
      </c>
    </row>
    <row r="722" spans="1:15">
      <c r="C722" s="487" t="s">
        <v>279</v>
      </c>
      <c r="D722" s="491">
        <f>G$79</f>
        <v>42</v>
      </c>
      <c r="E722" s="487" t="s">
        <v>280</v>
      </c>
      <c r="F722" s="79"/>
      <c r="H722"/>
      <c r="I722" s="490">
        <f>IF(G713="",I721,$G$67)</f>
        <v>0.14996626714737105</v>
      </c>
      <c r="J722" s="81"/>
      <c r="K722" t="s">
        <v>357</v>
      </c>
    </row>
    <row r="723" spans="1:15" ht="13.5" thickBot="1">
      <c r="C723" s="487" t="s">
        <v>281</v>
      </c>
      <c r="D723" s="637" t="s">
        <v>923</v>
      </c>
      <c r="E723" s="492" t="s">
        <v>282</v>
      </c>
      <c r="F723" s="493"/>
      <c r="G723" s="494"/>
      <c r="H723" s="494"/>
      <c r="I723" s="924">
        <f>IF(D719=0,0,D719/D722)</f>
        <v>2817.4285714285716</v>
      </c>
      <c r="J723" s="915"/>
      <c r="K723" s="915" t="s">
        <v>363</v>
      </c>
      <c r="L723" s="915"/>
      <c r="M723" s="915"/>
      <c r="N723" s="915"/>
      <c r="O723" s="4"/>
    </row>
    <row r="724" spans="1:15" ht="51">
      <c r="A724" s="12"/>
      <c r="B724" s="12"/>
      <c r="C724" s="495" t="s">
        <v>272</v>
      </c>
      <c r="D724" s="928" t="s">
        <v>283</v>
      </c>
      <c r="E724" s="929" t="s">
        <v>284</v>
      </c>
      <c r="F724" s="928" t="s">
        <v>285</v>
      </c>
      <c r="G724" s="929" t="s">
        <v>356</v>
      </c>
      <c r="H724" s="930" t="s">
        <v>356</v>
      </c>
      <c r="I724" s="495" t="s">
        <v>295</v>
      </c>
      <c r="J724" s="499"/>
      <c r="K724" s="929" t="s">
        <v>365</v>
      </c>
      <c r="L724" s="931"/>
      <c r="M724" s="929" t="s">
        <v>365</v>
      </c>
      <c r="N724" s="931"/>
      <c r="O724" s="931"/>
    </row>
    <row r="725" spans="1:15" ht="13.5" thickBot="1">
      <c r="C725" s="500" t="s">
        <v>177</v>
      </c>
      <c r="D725" s="501" t="s">
        <v>178</v>
      </c>
      <c r="E725" s="500" t="s">
        <v>37</v>
      </c>
      <c r="F725" s="501" t="s">
        <v>178</v>
      </c>
      <c r="G725" s="932" t="s">
        <v>298</v>
      </c>
      <c r="H725" s="933" t="s">
        <v>300</v>
      </c>
      <c r="I725" s="500" t="s">
        <v>389</v>
      </c>
      <c r="J725" s="504"/>
      <c r="K725" s="932" t="s">
        <v>287</v>
      </c>
      <c r="L725" s="934"/>
      <c r="M725" s="932" t="s">
        <v>300</v>
      </c>
      <c r="N725" s="934"/>
      <c r="O725" s="934"/>
    </row>
    <row r="726" spans="1:15">
      <c r="C726" s="505">
        <f>IF(D720= "","-",D720)</f>
        <v>2013</v>
      </c>
      <c r="D726" s="469">
        <f>+D719</f>
        <v>118332</v>
      </c>
      <c r="E726" s="935">
        <f>+I723/12*(12-D721)</f>
        <v>2582.6428571428573</v>
      </c>
      <c r="F726" s="469">
        <f t="shared" ref="F726:F785" si="42">+D726-E726</f>
        <v>115749.35714285714</v>
      </c>
      <c r="G726" s="936">
        <f>+$I$721*((D726+F726)/2)+E726</f>
        <v>20134.796526895301</v>
      </c>
      <c r="H726" s="937">
        <f>$I$722*((D726+F726)/2)+E726</f>
        <v>20134.796526895301</v>
      </c>
      <c r="I726" s="509">
        <f>+H726-G726</f>
        <v>0</v>
      </c>
      <c r="J726" s="509"/>
      <c r="K726" s="639">
        <v>0</v>
      </c>
      <c r="L726" s="510"/>
      <c r="M726" s="639">
        <v>0</v>
      </c>
      <c r="N726" s="510"/>
      <c r="O726" s="510"/>
    </row>
    <row r="727" spans="1:15">
      <c r="C727" s="505">
        <f>IF(D720="","-",+C726+1)</f>
        <v>2014</v>
      </c>
      <c r="D727" s="469">
        <f t="shared" ref="D727:D785" si="43">F726</f>
        <v>115749.35714285714</v>
      </c>
      <c r="E727" s="511">
        <f>IF(D727&gt;$I$723,$I$723,D727)</f>
        <v>2817.4285714285716</v>
      </c>
      <c r="F727" s="469">
        <f t="shared" si="42"/>
        <v>112931.92857142858</v>
      </c>
      <c r="G727" s="935">
        <f t="shared" ref="G727:G785" si="44">+$I$721*((D727+F727)/2)+E727</f>
        <v>19964.667963945005</v>
      </c>
      <c r="H727" s="938">
        <f t="shared" ref="H727:H785" si="45">$I$722*((D727+F727)/2)+E727</f>
        <v>19964.667963945005</v>
      </c>
      <c r="I727" s="509">
        <f t="shared" ref="I727:I785" si="46">+H727-G727</f>
        <v>0</v>
      </c>
      <c r="J727" s="509"/>
      <c r="K727" s="640">
        <v>25862</v>
      </c>
      <c r="L727" s="514"/>
      <c r="M727" s="640">
        <v>25862</v>
      </c>
      <c r="N727" s="514"/>
      <c r="O727" s="514"/>
    </row>
    <row r="728" spans="1:15">
      <c r="C728" s="505">
        <f>IF(D720="","-",+C727+1)</f>
        <v>2015</v>
      </c>
      <c r="D728" s="469">
        <f t="shared" si="43"/>
        <v>112931.92857142858</v>
      </c>
      <c r="E728" s="511">
        <f t="shared" ref="E728:E785" si="47">IF(D728&gt;$I$723,$I$723,D728)</f>
        <v>2817.4285714285716</v>
      </c>
      <c r="F728" s="469">
        <f t="shared" si="42"/>
        <v>110114.50000000001</v>
      </c>
      <c r="G728" s="935">
        <f t="shared" si="44"/>
        <v>19542.148718133507</v>
      </c>
      <c r="H728" s="938">
        <f t="shared" si="45"/>
        <v>19542.148718133507</v>
      </c>
      <c r="I728" s="509">
        <f t="shared" si="46"/>
        <v>0</v>
      </c>
      <c r="J728" s="509"/>
      <c r="K728" s="640">
        <v>17942</v>
      </c>
      <c r="L728" s="514"/>
      <c r="M728" s="640">
        <v>17942</v>
      </c>
      <c r="N728" s="514"/>
      <c r="O728" s="514"/>
    </row>
    <row r="729" spans="1:15">
      <c r="C729" s="505">
        <f>IF(D720="","-",+C728+1)</f>
        <v>2016</v>
      </c>
      <c r="D729" s="469">
        <f t="shared" si="43"/>
        <v>110114.50000000001</v>
      </c>
      <c r="E729" s="511">
        <f t="shared" si="47"/>
        <v>2817.4285714285716</v>
      </c>
      <c r="F729" s="469">
        <f t="shared" si="42"/>
        <v>107297.07142857145</v>
      </c>
      <c r="G729" s="935">
        <f t="shared" si="44"/>
        <v>19119.629472322016</v>
      </c>
      <c r="H729" s="938">
        <f t="shared" si="45"/>
        <v>19119.629472322016</v>
      </c>
      <c r="I729" s="509">
        <f t="shared" si="46"/>
        <v>0</v>
      </c>
      <c r="J729" s="509"/>
      <c r="K729" s="640">
        <v>22706</v>
      </c>
      <c r="L729" s="514"/>
      <c r="M729" s="640">
        <v>22706</v>
      </c>
      <c r="N729" s="514"/>
      <c r="O729" s="514"/>
    </row>
    <row r="730" spans="1:15">
      <c r="C730" s="505">
        <f>IF(D720="","-",+C729+1)</f>
        <v>2017</v>
      </c>
      <c r="D730" s="469">
        <f t="shared" si="43"/>
        <v>107297.07142857145</v>
      </c>
      <c r="E730" s="511">
        <f t="shared" si="47"/>
        <v>2817.4285714285716</v>
      </c>
      <c r="F730" s="469">
        <f t="shared" si="42"/>
        <v>104479.64285714288</v>
      </c>
      <c r="G730" s="935">
        <f t="shared" si="44"/>
        <v>18697.110226510522</v>
      </c>
      <c r="H730" s="938">
        <f t="shared" si="45"/>
        <v>18697.110226510522</v>
      </c>
      <c r="I730" s="509">
        <f t="shared" si="46"/>
        <v>0</v>
      </c>
      <c r="J730" s="509"/>
      <c r="K730" s="640">
        <v>22935</v>
      </c>
      <c r="L730" s="514"/>
      <c r="M730" s="640">
        <v>22935</v>
      </c>
      <c r="N730" s="514"/>
      <c r="O730" s="514"/>
    </row>
    <row r="731" spans="1:15">
      <c r="C731" s="940">
        <f>IF(D720="","-",+C730+1)</f>
        <v>2018</v>
      </c>
      <c r="D731" s="941">
        <f t="shared" si="43"/>
        <v>104479.64285714288</v>
      </c>
      <c r="E731" s="942">
        <f t="shared" si="47"/>
        <v>2817.4285714285716</v>
      </c>
      <c r="F731" s="941">
        <f t="shared" si="42"/>
        <v>101662.21428571432</v>
      </c>
      <c r="G731" s="943">
        <f t="shared" si="44"/>
        <v>18274.590980699035</v>
      </c>
      <c r="H731" s="944">
        <f t="shared" si="45"/>
        <v>18274.590980699035</v>
      </c>
      <c r="I731" s="945">
        <f t="shared" si="46"/>
        <v>0</v>
      </c>
      <c r="J731" s="509"/>
      <c r="K731" s="640"/>
      <c r="L731" s="514"/>
      <c r="M731" s="640"/>
      <c r="N731" s="514"/>
      <c r="O731" s="514"/>
    </row>
    <row r="732" spans="1:15">
      <c r="C732" s="505">
        <f>IF(D720="","-",+C731+1)</f>
        <v>2019</v>
      </c>
      <c r="D732" s="469">
        <f t="shared" si="43"/>
        <v>101662.21428571432</v>
      </c>
      <c r="E732" s="511">
        <f t="shared" si="47"/>
        <v>2817.4285714285716</v>
      </c>
      <c r="F732" s="469">
        <f t="shared" si="42"/>
        <v>98844.785714285754</v>
      </c>
      <c r="G732" s="935">
        <f t="shared" si="44"/>
        <v>17852.071734887541</v>
      </c>
      <c r="H732" s="938">
        <f t="shared" si="45"/>
        <v>17852.071734887541</v>
      </c>
      <c r="I732" s="509">
        <f t="shared" si="46"/>
        <v>0</v>
      </c>
      <c r="J732" s="509"/>
      <c r="K732" s="640"/>
      <c r="L732" s="514"/>
      <c r="M732" s="640"/>
      <c r="N732" s="514"/>
      <c r="O732" s="514"/>
    </row>
    <row r="733" spans="1:15">
      <c r="C733" s="505">
        <f>IF(D720="","-",+C732+1)</f>
        <v>2020</v>
      </c>
      <c r="D733" s="469">
        <f t="shared" si="43"/>
        <v>98844.785714285754</v>
      </c>
      <c r="E733" s="511">
        <f t="shared" si="47"/>
        <v>2817.4285714285716</v>
      </c>
      <c r="F733" s="469">
        <f t="shared" si="42"/>
        <v>96027.357142857189</v>
      </c>
      <c r="G733" s="935">
        <f t="shared" si="44"/>
        <v>17429.55248907605</v>
      </c>
      <c r="H733" s="938">
        <f t="shared" si="45"/>
        <v>17429.55248907605</v>
      </c>
      <c r="I733" s="509">
        <f t="shared" si="46"/>
        <v>0</v>
      </c>
      <c r="J733" s="509"/>
      <c r="K733" s="640"/>
      <c r="L733" s="514"/>
      <c r="M733" s="640"/>
      <c r="N733" s="514"/>
      <c r="O733" s="514"/>
    </row>
    <row r="734" spans="1:15">
      <c r="C734" s="505">
        <f>IF(D720="","-",+C733+1)</f>
        <v>2021</v>
      </c>
      <c r="D734" s="469">
        <f t="shared" si="43"/>
        <v>96027.357142857189</v>
      </c>
      <c r="E734" s="511">
        <f t="shared" si="47"/>
        <v>2817.4285714285716</v>
      </c>
      <c r="F734" s="469">
        <f t="shared" si="42"/>
        <v>93209.928571428623</v>
      </c>
      <c r="G734" s="935">
        <f t="shared" si="44"/>
        <v>17007.033243264555</v>
      </c>
      <c r="H734" s="938">
        <f t="shared" si="45"/>
        <v>17007.033243264555</v>
      </c>
      <c r="I734" s="509">
        <f t="shared" si="46"/>
        <v>0</v>
      </c>
      <c r="J734" s="509"/>
      <c r="K734" s="640"/>
      <c r="L734" s="514"/>
      <c r="M734" s="640"/>
      <c r="N734" s="514"/>
      <c r="O734" s="514"/>
    </row>
    <row r="735" spans="1:15">
      <c r="C735" s="505">
        <f>IF(D720="","-",+C734+1)</f>
        <v>2022</v>
      </c>
      <c r="D735" s="469">
        <f t="shared" si="43"/>
        <v>93209.928571428623</v>
      </c>
      <c r="E735" s="511">
        <f t="shared" si="47"/>
        <v>2817.4285714285716</v>
      </c>
      <c r="F735" s="469">
        <f t="shared" si="42"/>
        <v>90392.500000000058</v>
      </c>
      <c r="G735" s="935">
        <f t="shared" si="44"/>
        <v>16584.513997453065</v>
      </c>
      <c r="H735" s="938">
        <f t="shared" si="45"/>
        <v>16584.513997453065</v>
      </c>
      <c r="I735" s="509">
        <f t="shared" si="46"/>
        <v>0</v>
      </c>
      <c r="J735" s="509"/>
      <c r="K735" s="640"/>
      <c r="L735" s="514"/>
      <c r="M735" s="640"/>
      <c r="N735" s="514"/>
      <c r="O735" s="514"/>
    </row>
    <row r="736" spans="1:15">
      <c r="C736" s="505">
        <f>IF(D720="","-",+C735+1)</f>
        <v>2023</v>
      </c>
      <c r="D736" s="469">
        <f t="shared" si="43"/>
        <v>90392.500000000058</v>
      </c>
      <c r="E736" s="511">
        <f t="shared" si="47"/>
        <v>2817.4285714285716</v>
      </c>
      <c r="F736" s="469">
        <f t="shared" si="42"/>
        <v>87575.071428571493</v>
      </c>
      <c r="G736" s="935">
        <f t="shared" si="44"/>
        <v>16161.99475164157</v>
      </c>
      <c r="H736" s="938">
        <f t="shared" si="45"/>
        <v>16161.99475164157</v>
      </c>
      <c r="I736" s="509">
        <f t="shared" si="46"/>
        <v>0</v>
      </c>
      <c r="J736" s="509"/>
      <c r="K736" s="640"/>
      <c r="L736" s="514"/>
      <c r="M736" s="640"/>
      <c r="N736" s="514"/>
      <c r="O736" s="514"/>
    </row>
    <row r="737" spans="3:15">
      <c r="C737" s="505">
        <f>IF(D720="","-",+C736+1)</f>
        <v>2024</v>
      </c>
      <c r="D737" s="469">
        <f t="shared" si="43"/>
        <v>87575.071428571493</v>
      </c>
      <c r="E737" s="511">
        <f t="shared" si="47"/>
        <v>2817.4285714285716</v>
      </c>
      <c r="F737" s="469">
        <f t="shared" si="42"/>
        <v>84757.642857142928</v>
      </c>
      <c r="G737" s="935">
        <f t="shared" si="44"/>
        <v>15739.47550583008</v>
      </c>
      <c r="H737" s="938">
        <f t="shared" si="45"/>
        <v>15739.47550583008</v>
      </c>
      <c r="I737" s="509">
        <f t="shared" si="46"/>
        <v>0</v>
      </c>
      <c r="J737" s="509"/>
      <c r="K737" s="640"/>
      <c r="L737" s="514"/>
      <c r="M737" s="640"/>
      <c r="N737" s="514"/>
      <c r="O737" s="514"/>
    </row>
    <row r="738" spans="3:15">
      <c r="C738" s="505">
        <f>IF(D720="","-",+C737+1)</f>
        <v>2025</v>
      </c>
      <c r="D738" s="469">
        <f t="shared" si="43"/>
        <v>84757.642857142928</v>
      </c>
      <c r="E738" s="511">
        <f t="shared" si="47"/>
        <v>2817.4285714285716</v>
      </c>
      <c r="F738" s="469">
        <f t="shared" si="42"/>
        <v>81940.214285714363</v>
      </c>
      <c r="G738" s="935">
        <f t="shared" si="44"/>
        <v>15316.956260018585</v>
      </c>
      <c r="H738" s="938">
        <f t="shared" si="45"/>
        <v>15316.956260018585</v>
      </c>
      <c r="I738" s="509">
        <f t="shared" si="46"/>
        <v>0</v>
      </c>
      <c r="J738" s="509"/>
      <c r="K738" s="640"/>
      <c r="L738" s="514"/>
      <c r="M738" s="640"/>
      <c r="N738" s="514"/>
      <c r="O738" s="514"/>
    </row>
    <row r="739" spans="3:15">
      <c r="C739" s="505">
        <f>IF(D720="","-",+C738+1)</f>
        <v>2026</v>
      </c>
      <c r="D739" s="469">
        <f t="shared" si="43"/>
        <v>81940.214285714363</v>
      </c>
      <c r="E739" s="511">
        <f t="shared" si="47"/>
        <v>2817.4285714285716</v>
      </c>
      <c r="F739" s="469">
        <f t="shared" si="42"/>
        <v>79122.785714285797</v>
      </c>
      <c r="G739" s="935">
        <f t="shared" si="44"/>
        <v>14894.437014207095</v>
      </c>
      <c r="H739" s="938">
        <f t="shared" si="45"/>
        <v>14894.437014207095</v>
      </c>
      <c r="I739" s="509">
        <f t="shared" si="46"/>
        <v>0</v>
      </c>
      <c r="J739" s="509"/>
      <c r="K739" s="640"/>
      <c r="L739" s="514"/>
      <c r="M739" s="640"/>
      <c r="N739" s="514"/>
      <c r="O739" s="514"/>
    </row>
    <row r="740" spans="3:15">
      <c r="C740" s="505">
        <f>IF(D720="","-",+C739+1)</f>
        <v>2027</v>
      </c>
      <c r="D740" s="469">
        <f t="shared" si="43"/>
        <v>79122.785714285797</v>
      </c>
      <c r="E740" s="511">
        <f t="shared" si="47"/>
        <v>2817.4285714285716</v>
      </c>
      <c r="F740" s="469">
        <f t="shared" si="42"/>
        <v>76305.357142857232</v>
      </c>
      <c r="G740" s="935">
        <f t="shared" si="44"/>
        <v>14471.9177683956</v>
      </c>
      <c r="H740" s="938">
        <f t="shared" si="45"/>
        <v>14471.9177683956</v>
      </c>
      <c r="I740" s="509">
        <f t="shared" si="46"/>
        <v>0</v>
      </c>
      <c r="J740" s="509"/>
      <c r="K740" s="640"/>
      <c r="L740" s="514"/>
      <c r="M740" s="640"/>
      <c r="N740" s="514"/>
      <c r="O740" s="514"/>
    </row>
    <row r="741" spans="3:15">
      <c r="C741" s="505">
        <f>IF(D720="","-",+C740+1)</f>
        <v>2028</v>
      </c>
      <c r="D741" s="469">
        <f t="shared" si="43"/>
        <v>76305.357142857232</v>
      </c>
      <c r="E741" s="511">
        <f t="shared" si="47"/>
        <v>2817.4285714285716</v>
      </c>
      <c r="F741" s="469">
        <f t="shared" si="42"/>
        <v>73487.928571428667</v>
      </c>
      <c r="G741" s="935">
        <f t="shared" si="44"/>
        <v>14049.398522584113</v>
      </c>
      <c r="H741" s="938">
        <f t="shared" si="45"/>
        <v>14049.398522584113</v>
      </c>
      <c r="I741" s="509">
        <f t="shared" si="46"/>
        <v>0</v>
      </c>
      <c r="J741" s="509"/>
      <c r="K741" s="640"/>
      <c r="L741" s="514"/>
      <c r="M741" s="640"/>
      <c r="N741" s="514"/>
      <c r="O741" s="514"/>
    </row>
    <row r="742" spans="3:15">
      <c r="C742" s="505">
        <f>IF(D720="","-",+C741+1)</f>
        <v>2029</v>
      </c>
      <c r="D742" s="469">
        <f t="shared" si="43"/>
        <v>73487.928571428667</v>
      </c>
      <c r="E742" s="511">
        <f t="shared" si="47"/>
        <v>2817.4285714285716</v>
      </c>
      <c r="F742" s="469">
        <f t="shared" si="42"/>
        <v>70670.500000000102</v>
      </c>
      <c r="G742" s="935">
        <f t="shared" si="44"/>
        <v>13626.879276772619</v>
      </c>
      <c r="H742" s="938">
        <f t="shared" si="45"/>
        <v>13626.879276772619</v>
      </c>
      <c r="I742" s="509">
        <f t="shared" si="46"/>
        <v>0</v>
      </c>
      <c r="J742" s="509"/>
      <c r="K742" s="640"/>
      <c r="L742" s="514"/>
      <c r="M742" s="640"/>
      <c r="N742" s="514"/>
      <c r="O742" s="514"/>
    </row>
    <row r="743" spans="3:15">
      <c r="C743" s="505">
        <f>IF(D720="","-",+C742+1)</f>
        <v>2030</v>
      </c>
      <c r="D743" s="469">
        <f t="shared" si="43"/>
        <v>70670.500000000102</v>
      </c>
      <c r="E743" s="511">
        <f t="shared" si="47"/>
        <v>2817.4285714285716</v>
      </c>
      <c r="F743" s="469">
        <f t="shared" si="42"/>
        <v>67853.071428571537</v>
      </c>
      <c r="G743" s="935">
        <f t="shared" si="44"/>
        <v>13204.360030961128</v>
      </c>
      <c r="H743" s="938">
        <f t="shared" si="45"/>
        <v>13204.360030961128</v>
      </c>
      <c r="I743" s="509">
        <f t="shared" si="46"/>
        <v>0</v>
      </c>
      <c r="J743" s="509"/>
      <c r="K743" s="640"/>
      <c r="L743" s="514"/>
      <c r="M743" s="640"/>
      <c r="N743" s="514"/>
      <c r="O743" s="514"/>
    </row>
    <row r="744" spans="3:15">
      <c r="C744" s="505">
        <f>IF(D720="","-",+C743+1)</f>
        <v>2031</v>
      </c>
      <c r="D744" s="469">
        <f t="shared" si="43"/>
        <v>67853.071428571537</v>
      </c>
      <c r="E744" s="511">
        <f t="shared" si="47"/>
        <v>2817.4285714285716</v>
      </c>
      <c r="F744" s="469">
        <f t="shared" si="42"/>
        <v>65035.642857142964</v>
      </c>
      <c r="G744" s="935">
        <f t="shared" si="44"/>
        <v>12781.840785149634</v>
      </c>
      <c r="H744" s="938">
        <f t="shared" si="45"/>
        <v>12781.840785149634</v>
      </c>
      <c r="I744" s="509">
        <f t="shared" si="46"/>
        <v>0</v>
      </c>
      <c r="J744" s="509"/>
      <c r="K744" s="640"/>
      <c r="L744" s="514"/>
      <c r="M744" s="640"/>
      <c r="N744" s="514"/>
      <c r="O744" s="514"/>
    </row>
    <row r="745" spans="3:15">
      <c r="C745" s="505">
        <f>IF(D720="","-",+C744+1)</f>
        <v>2032</v>
      </c>
      <c r="D745" s="469">
        <f t="shared" si="43"/>
        <v>65035.642857142964</v>
      </c>
      <c r="E745" s="511">
        <f t="shared" si="47"/>
        <v>2817.4285714285716</v>
      </c>
      <c r="F745" s="469">
        <f t="shared" si="42"/>
        <v>62218.214285714392</v>
      </c>
      <c r="G745" s="935">
        <f t="shared" si="44"/>
        <v>12359.32153933814</v>
      </c>
      <c r="H745" s="938">
        <f t="shared" si="45"/>
        <v>12359.32153933814</v>
      </c>
      <c r="I745" s="509">
        <f t="shared" si="46"/>
        <v>0</v>
      </c>
      <c r="J745" s="509"/>
      <c r="K745" s="640"/>
      <c r="L745" s="514"/>
      <c r="M745" s="640"/>
      <c r="N745" s="514"/>
      <c r="O745" s="514"/>
    </row>
    <row r="746" spans="3:15">
      <c r="C746" s="505">
        <f>IF(D720="","-",+C745+1)</f>
        <v>2033</v>
      </c>
      <c r="D746" s="469">
        <f t="shared" si="43"/>
        <v>62218.214285714392</v>
      </c>
      <c r="E746" s="511">
        <f t="shared" si="47"/>
        <v>2817.4285714285716</v>
      </c>
      <c r="F746" s="469">
        <f t="shared" si="42"/>
        <v>59400.785714285819</v>
      </c>
      <c r="G746" s="935">
        <f t="shared" si="44"/>
        <v>11936.802293526645</v>
      </c>
      <c r="H746" s="938">
        <f t="shared" si="45"/>
        <v>11936.802293526645</v>
      </c>
      <c r="I746" s="509">
        <f t="shared" si="46"/>
        <v>0</v>
      </c>
      <c r="J746" s="509"/>
      <c r="K746" s="640"/>
      <c r="L746" s="514"/>
      <c r="M746" s="640"/>
      <c r="N746" s="514"/>
      <c r="O746" s="514"/>
    </row>
    <row r="747" spans="3:15">
      <c r="C747" s="505">
        <f>IF(D720="","-",+C746+1)</f>
        <v>2034</v>
      </c>
      <c r="D747" s="469">
        <f t="shared" si="43"/>
        <v>59400.785714285819</v>
      </c>
      <c r="E747" s="511">
        <f t="shared" si="47"/>
        <v>2817.4285714285716</v>
      </c>
      <c r="F747" s="469">
        <f t="shared" si="42"/>
        <v>56583.357142857247</v>
      </c>
      <c r="G747" s="935">
        <f t="shared" si="44"/>
        <v>11514.283047715155</v>
      </c>
      <c r="H747" s="938">
        <f t="shared" si="45"/>
        <v>11514.283047715155</v>
      </c>
      <c r="I747" s="509">
        <f t="shared" si="46"/>
        <v>0</v>
      </c>
      <c r="J747" s="509"/>
      <c r="K747" s="640"/>
      <c r="L747" s="514"/>
      <c r="M747" s="640"/>
      <c r="N747" s="514"/>
      <c r="O747" s="514"/>
    </row>
    <row r="748" spans="3:15">
      <c r="C748" s="505">
        <f>IF(D720="","-",+C747+1)</f>
        <v>2035</v>
      </c>
      <c r="D748" s="469">
        <f t="shared" si="43"/>
        <v>56583.357142857247</v>
      </c>
      <c r="E748" s="511">
        <f t="shared" si="47"/>
        <v>2817.4285714285716</v>
      </c>
      <c r="F748" s="469">
        <f t="shared" si="42"/>
        <v>53765.928571428674</v>
      </c>
      <c r="G748" s="935">
        <f t="shared" si="44"/>
        <v>11091.76380190366</v>
      </c>
      <c r="H748" s="938">
        <f t="shared" si="45"/>
        <v>11091.76380190366</v>
      </c>
      <c r="I748" s="509">
        <f t="shared" si="46"/>
        <v>0</v>
      </c>
      <c r="J748" s="509"/>
      <c r="K748" s="640"/>
      <c r="L748" s="514"/>
      <c r="M748" s="640"/>
      <c r="N748" s="514"/>
      <c r="O748" s="514"/>
    </row>
    <row r="749" spans="3:15">
      <c r="C749" s="505">
        <f>IF(D720="","-",+C748+1)</f>
        <v>2036</v>
      </c>
      <c r="D749" s="469">
        <f t="shared" si="43"/>
        <v>53765.928571428674</v>
      </c>
      <c r="E749" s="511">
        <f t="shared" si="47"/>
        <v>2817.4285714285716</v>
      </c>
      <c r="F749" s="469">
        <f t="shared" si="42"/>
        <v>50948.500000000102</v>
      </c>
      <c r="G749" s="935">
        <f t="shared" si="44"/>
        <v>10669.244556092168</v>
      </c>
      <c r="H749" s="938">
        <f t="shared" si="45"/>
        <v>10669.244556092168</v>
      </c>
      <c r="I749" s="509">
        <f t="shared" si="46"/>
        <v>0</v>
      </c>
      <c r="J749" s="509"/>
      <c r="K749" s="640"/>
      <c r="L749" s="514"/>
      <c r="M749" s="640"/>
      <c r="N749" s="514"/>
      <c r="O749" s="514"/>
    </row>
    <row r="750" spans="3:15">
      <c r="C750" s="505">
        <f>IF(D720="","-",+C749+1)</f>
        <v>2037</v>
      </c>
      <c r="D750" s="469">
        <f t="shared" si="43"/>
        <v>50948.500000000102</v>
      </c>
      <c r="E750" s="511">
        <f t="shared" si="47"/>
        <v>2817.4285714285716</v>
      </c>
      <c r="F750" s="469">
        <f t="shared" si="42"/>
        <v>48131.071428571529</v>
      </c>
      <c r="G750" s="935">
        <f t="shared" si="44"/>
        <v>10246.725310280674</v>
      </c>
      <c r="H750" s="938">
        <f t="shared" si="45"/>
        <v>10246.725310280674</v>
      </c>
      <c r="I750" s="509">
        <f t="shared" si="46"/>
        <v>0</v>
      </c>
      <c r="J750" s="509"/>
      <c r="K750" s="640"/>
      <c r="L750" s="514"/>
      <c r="M750" s="640"/>
      <c r="N750" s="514"/>
      <c r="O750" s="514"/>
    </row>
    <row r="751" spans="3:15">
      <c r="C751" s="505">
        <f>IF(D720="","-",+C750+1)</f>
        <v>2038</v>
      </c>
      <c r="D751" s="469">
        <f t="shared" si="43"/>
        <v>48131.071428571529</v>
      </c>
      <c r="E751" s="511">
        <f t="shared" si="47"/>
        <v>2817.4285714285716</v>
      </c>
      <c r="F751" s="469">
        <f t="shared" si="42"/>
        <v>45313.642857142957</v>
      </c>
      <c r="G751" s="935">
        <f t="shared" si="44"/>
        <v>9824.206064469181</v>
      </c>
      <c r="H751" s="938">
        <f t="shared" si="45"/>
        <v>9824.206064469181</v>
      </c>
      <c r="I751" s="509">
        <f t="shared" si="46"/>
        <v>0</v>
      </c>
      <c r="J751" s="509"/>
      <c r="K751" s="640"/>
      <c r="L751" s="514"/>
      <c r="M751" s="640"/>
      <c r="N751" s="514"/>
      <c r="O751" s="514"/>
    </row>
    <row r="752" spans="3:15">
      <c r="C752" s="505">
        <f>IF(D720="","-",+C751+1)</f>
        <v>2039</v>
      </c>
      <c r="D752" s="469">
        <f t="shared" si="43"/>
        <v>45313.642857142957</v>
      </c>
      <c r="E752" s="511">
        <f t="shared" si="47"/>
        <v>2817.4285714285716</v>
      </c>
      <c r="F752" s="469">
        <f t="shared" si="42"/>
        <v>42496.214285714384</v>
      </c>
      <c r="G752" s="935">
        <f t="shared" si="44"/>
        <v>9401.6868186576867</v>
      </c>
      <c r="H752" s="938">
        <f t="shared" si="45"/>
        <v>9401.6868186576867</v>
      </c>
      <c r="I752" s="509">
        <f t="shared" si="46"/>
        <v>0</v>
      </c>
      <c r="J752" s="509"/>
      <c r="K752" s="640"/>
      <c r="L752" s="514"/>
      <c r="M752" s="640"/>
      <c r="N752" s="514"/>
      <c r="O752" s="514"/>
    </row>
    <row r="753" spans="3:15">
      <c r="C753" s="505">
        <f>IF(D720="","-",+C752+1)</f>
        <v>2040</v>
      </c>
      <c r="D753" s="469">
        <f t="shared" si="43"/>
        <v>42496.214285714384</v>
      </c>
      <c r="E753" s="511">
        <f t="shared" si="47"/>
        <v>2817.4285714285716</v>
      </c>
      <c r="F753" s="469">
        <f t="shared" si="42"/>
        <v>39678.785714285812</v>
      </c>
      <c r="G753" s="935">
        <f t="shared" si="44"/>
        <v>8979.167572846196</v>
      </c>
      <c r="H753" s="938">
        <f t="shared" si="45"/>
        <v>8979.167572846196</v>
      </c>
      <c r="I753" s="509">
        <f t="shared" si="46"/>
        <v>0</v>
      </c>
      <c r="J753" s="509"/>
      <c r="K753" s="640"/>
      <c r="L753" s="514"/>
      <c r="M753" s="640"/>
      <c r="N753" s="514"/>
      <c r="O753" s="514"/>
    </row>
    <row r="754" spans="3:15">
      <c r="C754" s="505">
        <f>IF(D720="","-",+C753+1)</f>
        <v>2041</v>
      </c>
      <c r="D754" s="469">
        <f t="shared" si="43"/>
        <v>39678.785714285812</v>
      </c>
      <c r="E754" s="511">
        <f t="shared" si="47"/>
        <v>2817.4285714285716</v>
      </c>
      <c r="F754" s="469">
        <f t="shared" si="42"/>
        <v>36861.35714285724</v>
      </c>
      <c r="G754" s="936">
        <f t="shared" si="44"/>
        <v>8556.6483270347017</v>
      </c>
      <c r="H754" s="938">
        <f t="shared" si="45"/>
        <v>8556.6483270347017</v>
      </c>
      <c r="I754" s="509">
        <f t="shared" si="46"/>
        <v>0</v>
      </c>
      <c r="J754" s="509"/>
      <c r="K754" s="640"/>
      <c r="L754" s="514"/>
      <c r="M754" s="640"/>
      <c r="N754" s="514"/>
      <c r="O754" s="514"/>
    </row>
    <row r="755" spans="3:15">
      <c r="C755" s="505">
        <f>IF(D720="","-",+C754+1)</f>
        <v>2042</v>
      </c>
      <c r="D755" s="469">
        <f t="shared" si="43"/>
        <v>36861.35714285724</v>
      </c>
      <c r="E755" s="511">
        <f t="shared" si="47"/>
        <v>2817.4285714285716</v>
      </c>
      <c r="F755" s="469">
        <f t="shared" si="42"/>
        <v>34043.928571428667</v>
      </c>
      <c r="G755" s="935">
        <f t="shared" si="44"/>
        <v>8134.1290812232082</v>
      </c>
      <c r="H755" s="938">
        <f t="shared" si="45"/>
        <v>8134.1290812232082</v>
      </c>
      <c r="I755" s="509">
        <f t="shared" si="46"/>
        <v>0</v>
      </c>
      <c r="J755" s="509"/>
      <c r="K755" s="640"/>
      <c r="L755" s="514"/>
      <c r="M755" s="640"/>
      <c r="N755" s="514"/>
      <c r="O755" s="514"/>
    </row>
    <row r="756" spans="3:15">
      <c r="C756" s="505">
        <f>IF(D720="","-",+C755+1)</f>
        <v>2043</v>
      </c>
      <c r="D756" s="469">
        <f t="shared" si="43"/>
        <v>34043.928571428667</v>
      </c>
      <c r="E756" s="511">
        <f t="shared" si="47"/>
        <v>2817.4285714285716</v>
      </c>
      <c r="F756" s="469">
        <f t="shared" si="42"/>
        <v>31226.500000000095</v>
      </c>
      <c r="G756" s="935">
        <f t="shared" si="44"/>
        <v>7711.6098354117139</v>
      </c>
      <c r="H756" s="938">
        <f t="shared" si="45"/>
        <v>7711.6098354117139</v>
      </c>
      <c r="I756" s="509">
        <f t="shared" si="46"/>
        <v>0</v>
      </c>
      <c r="J756" s="509"/>
      <c r="K756" s="640"/>
      <c r="L756" s="514"/>
      <c r="M756" s="640"/>
      <c r="N756" s="514"/>
      <c r="O756" s="514"/>
    </row>
    <row r="757" spans="3:15">
      <c r="C757" s="505">
        <f>IF(D720="","-",+C756+1)</f>
        <v>2044</v>
      </c>
      <c r="D757" s="469">
        <f t="shared" si="43"/>
        <v>31226.500000000095</v>
      </c>
      <c r="E757" s="511">
        <f t="shared" si="47"/>
        <v>2817.4285714285716</v>
      </c>
      <c r="F757" s="469">
        <f t="shared" si="42"/>
        <v>28409.071428571522</v>
      </c>
      <c r="G757" s="935">
        <f t="shared" si="44"/>
        <v>7289.0905896002214</v>
      </c>
      <c r="H757" s="938">
        <f t="shared" si="45"/>
        <v>7289.0905896002214</v>
      </c>
      <c r="I757" s="509">
        <f t="shared" si="46"/>
        <v>0</v>
      </c>
      <c r="J757" s="509"/>
      <c r="K757" s="640"/>
      <c r="L757" s="514"/>
      <c r="M757" s="640"/>
      <c r="N757" s="514"/>
      <c r="O757" s="514"/>
    </row>
    <row r="758" spans="3:15">
      <c r="C758" s="505">
        <f>IF(D720="","-",+C757+1)</f>
        <v>2045</v>
      </c>
      <c r="D758" s="469">
        <f t="shared" si="43"/>
        <v>28409.071428571522</v>
      </c>
      <c r="E758" s="511">
        <f t="shared" si="47"/>
        <v>2817.4285714285716</v>
      </c>
      <c r="F758" s="469">
        <f t="shared" si="42"/>
        <v>25591.64285714295</v>
      </c>
      <c r="G758" s="935">
        <f t="shared" si="44"/>
        <v>6866.571343788728</v>
      </c>
      <c r="H758" s="938">
        <f t="shared" si="45"/>
        <v>6866.571343788728</v>
      </c>
      <c r="I758" s="509">
        <f t="shared" si="46"/>
        <v>0</v>
      </c>
      <c r="J758" s="509"/>
      <c r="K758" s="640"/>
      <c r="L758" s="514"/>
      <c r="M758" s="640"/>
      <c r="N758" s="514"/>
      <c r="O758" s="514"/>
    </row>
    <row r="759" spans="3:15">
      <c r="C759" s="505">
        <f>IF(D720="","-",+C758+1)</f>
        <v>2046</v>
      </c>
      <c r="D759" s="469">
        <f t="shared" si="43"/>
        <v>25591.64285714295</v>
      </c>
      <c r="E759" s="511">
        <f t="shared" si="47"/>
        <v>2817.4285714285716</v>
      </c>
      <c r="F759" s="469">
        <f t="shared" si="42"/>
        <v>22774.214285714377</v>
      </c>
      <c r="G759" s="935">
        <f t="shared" si="44"/>
        <v>6444.0520979772346</v>
      </c>
      <c r="H759" s="938">
        <f t="shared" si="45"/>
        <v>6444.0520979772346</v>
      </c>
      <c r="I759" s="509">
        <f t="shared" si="46"/>
        <v>0</v>
      </c>
      <c r="J759" s="509"/>
      <c r="K759" s="640"/>
      <c r="L759" s="514"/>
      <c r="M759" s="640"/>
      <c r="N759" s="514"/>
      <c r="O759" s="514"/>
    </row>
    <row r="760" spans="3:15">
      <c r="C760" s="505">
        <f>IF(D720="","-",+C759+1)</f>
        <v>2047</v>
      </c>
      <c r="D760" s="469">
        <f t="shared" si="43"/>
        <v>22774.214285714377</v>
      </c>
      <c r="E760" s="511">
        <f t="shared" si="47"/>
        <v>2817.4285714285716</v>
      </c>
      <c r="F760" s="469">
        <f t="shared" si="42"/>
        <v>19956.785714285805</v>
      </c>
      <c r="G760" s="935">
        <f t="shared" si="44"/>
        <v>6021.5328521657411</v>
      </c>
      <c r="H760" s="938">
        <f t="shared" si="45"/>
        <v>6021.5328521657411</v>
      </c>
      <c r="I760" s="509">
        <f t="shared" si="46"/>
        <v>0</v>
      </c>
      <c r="J760" s="509"/>
      <c r="K760" s="640"/>
      <c r="L760" s="514"/>
      <c r="M760" s="640"/>
      <c r="N760" s="514"/>
      <c r="O760" s="514"/>
    </row>
    <row r="761" spans="3:15">
      <c r="C761" s="505">
        <f>IF(D720="","-",+C760+1)</f>
        <v>2048</v>
      </c>
      <c r="D761" s="469">
        <f t="shared" si="43"/>
        <v>19956.785714285805</v>
      </c>
      <c r="E761" s="511">
        <f t="shared" si="47"/>
        <v>2817.4285714285716</v>
      </c>
      <c r="F761" s="469">
        <f t="shared" si="42"/>
        <v>17139.357142857232</v>
      </c>
      <c r="G761" s="935">
        <f t="shared" si="44"/>
        <v>5599.0136063542486</v>
      </c>
      <c r="H761" s="938">
        <f t="shared" si="45"/>
        <v>5599.0136063542486</v>
      </c>
      <c r="I761" s="509">
        <f t="shared" si="46"/>
        <v>0</v>
      </c>
      <c r="J761" s="509"/>
      <c r="K761" s="640"/>
      <c r="L761" s="514"/>
      <c r="M761" s="640"/>
      <c r="N761" s="514"/>
      <c r="O761" s="514"/>
    </row>
    <row r="762" spans="3:15">
      <c r="C762" s="505">
        <f>IF(D720="","-",+C761+1)</f>
        <v>2049</v>
      </c>
      <c r="D762" s="469">
        <f t="shared" si="43"/>
        <v>17139.357142857232</v>
      </c>
      <c r="E762" s="511">
        <f t="shared" si="47"/>
        <v>2817.4285714285716</v>
      </c>
      <c r="F762" s="469">
        <f t="shared" si="42"/>
        <v>14321.92857142866</v>
      </c>
      <c r="G762" s="935">
        <f t="shared" si="44"/>
        <v>5176.4943605427543</v>
      </c>
      <c r="H762" s="938">
        <f t="shared" si="45"/>
        <v>5176.4943605427543</v>
      </c>
      <c r="I762" s="509">
        <f t="shared" si="46"/>
        <v>0</v>
      </c>
      <c r="J762" s="509"/>
      <c r="K762" s="640"/>
      <c r="L762" s="514"/>
      <c r="M762" s="640"/>
      <c r="N762" s="514"/>
      <c r="O762" s="514"/>
    </row>
    <row r="763" spans="3:15">
      <c r="C763" s="505">
        <f>IF(D720="","-",+C762+1)</f>
        <v>2050</v>
      </c>
      <c r="D763" s="469">
        <f t="shared" si="43"/>
        <v>14321.92857142866</v>
      </c>
      <c r="E763" s="511">
        <f t="shared" si="47"/>
        <v>2817.4285714285716</v>
      </c>
      <c r="F763" s="469">
        <f t="shared" si="42"/>
        <v>11504.500000000087</v>
      </c>
      <c r="G763" s="935">
        <f t="shared" si="44"/>
        <v>4753.9751147312618</v>
      </c>
      <c r="H763" s="938">
        <f t="shared" si="45"/>
        <v>4753.9751147312618</v>
      </c>
      <c r="I763" s="509">
        <f t="shared" si="46"/>
        <v>0</v>
      </c>
      <c r="J763" s="509"/>
      <c r="K763" s="640"/>
      <c r="L763" s="514"/>
      <c r="M763" s="640"/>
      <c r="N763" s="514"/>
      <c r="O763" s="514"/>
    </row>
    <row r="764" spans="3:15">
      <c r="C764" s="505">
        <f>IF(D720="","-",+C763+1)</f>
        <v>2051</v>
      </c>
      <c r="D764" s="469">
        <f t="shared" si="43"/>
        <v>11504.500000000087</v>
      </c>
      <c r="E764" s="511">
        <f t="shared" si="47"/>
        <v>2817.4285714285716</v>
      </c>
      <c r="F764" s="469">
        <f t="shared" si="42"/>
        <v>8687.0714285715148</v>
      </c>
      <c r="G764" s="935">
        <f t="shared" si="44"/>
        <v>4331.4558689197684</v>
      </c>
      <c r="H764" s="938">
        <f t="shared" si="45"/>
        <v>4331.4558689197684</v>
      </c>
      <c r="I764" s="509">
        <f t="shared" si="46"/>
        <v>0</v>
      </c>
      <c r="J764" s="509"/>
      <c r="K764" s="640"/>
      <c r="L764" s="514"/>
      <c r="M764" s="640"/>
      <c r="N764" s="514"/>
      <c r="O764" s="514"/>
    </row>
    <row r="765" spans="3:15">
      <c r="C765" s="505">
        <f>IF(D720="","-",+C764+1)</f>
        <v>2052</v>
      </c>
      <c r="D765" s="469">
        <f t="shared" si="43"/>
        <v>8687.0714285715148</v>
      </c>
      <c r="E765" s="511">
        <f t="shared" si="47"/>
        <v>2817.4285714285716</v>
      </c>
      <c r="F765" s="469">
        <f t="shared" si="42"/>
        <v>5869.6428571429433</v>
      </c>
      <c r="G765" s="935">
        <f t="shared" si="44"/>
        <v>3908.9366231082749</v>
      </c>
      <c r="H765" s="938">
        <f t="shared" si="45"/>
        <v>3908.9366231082749</v>
      </c>
      <c r="I765" s="509">
        <f t="shared" si="46"/>
        <v>0</v>
      </c>
      <c r="J765" s="509"/>
      <c r="K765" s="640"/>
      <c r="L765" s="514"/>
      <c r="M765" s="640"/>
      <c r="N765" s="514"/>
      <c r="O765" s="514"/>
    </row>
    <row r="766" spans="3:15">
      <c r="C766" s="505">
        <f>IF(D720="","-",+C765+1)</f>
        <v>2053</v>
      </c>
      <c r="D766" s="469">
        <f t="shared" si="43"/>
        <v>5869.6428571429433</v>
      </c>
      <c r="E766" s="511">
        <f t="shared" si="47"/>
        <v>2817.4285714285716</v>
      </c>
      <c r="F766" s="469">
        <f t="shared" si="42"/>
        <v>3052.2142857143717</v>
      </c>
      <c r="G766" s="935">
        <f t="shared" si="44"/>
        <v>3486.417377296782</v>
      </c>
      <c r="H766" s="938">
        <f t="shared" si="45"/>
        <v>3486.417377296782</v>
      </c>
      <c r="I766" s="509">
        <f t="shared" si="46"/>
        <v>0</v>
      </c>
      <c r="J766" s="509"/>
      <c r="K766" s="640"/>
      <c r="L766" s="514"/>
      <c r="M766" s="640"/>
      <c r="N766" s="514"/>
      <c r="O766" s="514"/>
    </row>
    <row r="767" spans="3:15">
      <c r="C767" s="505">
        <f>IF(D720="","-",+C766+1)</f>
        <v>2054</v>
      </c>
      <c r="D767" s="469">
        <f t="shared" si="43"/>
        <v>3052.2142857143717</v>
      </c>
      <c r="E767" s="511">
        <f t="shared" si="47"/>
        <v>2817.4285714285716</v>
      </c>
      <c r="F767" s="469">
        <f t="shared" si="42"/>
        <v>234.78571428580017</v>
      </c>
      <c r="G767" s="935">
        <f t="shared" si="44"/>
        <v>3063.8981314852886</v>
      </c>
      <c r="H767" s="938">
        <f t="shared" si="45"/>
        <v>3063.8981314852886</v>
      </c>
      <c r="I767" s="509">
        <f t="shared" si="46"/>
        <v>0</v>
      </c>
      <c r="J767" s="509"/>
      <c r="K767" s="640"/>
      <c r="L767" s="514"/>
      <c r="M767" s="640"/>
      <c r="N767" s="514"/>
      <c r="O767" s="514"/>
    </row>
    <row r="768" spans="3:15">
      <c r="C768" s="505">
        <f>IF(D720="","-",+C767+1)</f>
        <v>2055</v>
      </c>
      <c r="D768" s="469">
        <f t="shared" si="43"/>
        <v>234.78571428580017</v>
      </c>
      <c r="E768" s="511">
        <f t="shared" si="47"/>
        <v>234.78571428580017</v>
      </c>
      <c r="F768" s="469">
        <f t="shared" si="42"/>
        <v>0</v>
      </c>
      <c r="G768" s="935">
        <f t="shared" si="44"/>
        <v>252.39068286128548</v>
      </c>
      <c r="H768" s="938">
        <f t="shared" si="45"/>
        <v>252.39068286128548</v>
      </c>
      <c r="I768" s="509">
        <f t="shared" si="46"/>
        <v>0</v>
      </c>
      <c r="J768" s="509"/>
      <c r="K768" s="640"/>
      <c r="L768" s="514"/>
      <c r="M768" s="640"/>
      <c r="N768" s="514"/>
      <c r="O768" s="514"/>
    </row>
    <row r="769" spans="3:15">
      <c r="C769" s="505">
        <f>IF(D720="","-",+C768+1)</f>
        <v>2056</v>
      </c>
      <c r="D769" s="469">
        <f t="shared" si="43"/>
        <v>0</v>
      </c>
      <c r="E769" s="511">
        <f t="shared" si="47"/>
        <v>0</v>
      </c>
      <c r="F769" s="469">
        <f t="shared" si="42"/>
        <v>0</v>
      </c>
      <c r="G769" s="935">
        <f t="shared" si="44"/>
        <v>0</v>
      </c>
      <c r="H769" s="938">
        <f t="shared" si="45"/>
        <v>0</v>
      </c>
      <c r="I769" s="509">
        <f t="shared" si="46"/>
        <v>0</v>
      </c>
      <c r="J769" s="509"/>
      <c r="K769" s="640"/>
      <c r="L769" s="514"/>
      <c r="M769" s="640"/>
      <c r="N769" s="514"/>
      <c r="O769" s="514"/>
    </row>
    <row r="770" spans="3:15">
      <c r="C770" s="505">
        <f>IF(D720="","-",+C769+1)</f>
        <v>2057</v>
      </c>
      <c r="D770" s="469">
        <f t="shared" si="43"/>
        <v>0</v>
      </c>
      <c r="E770" s="511">
        <f t="shared" si="47"/>
        <v>0</v>
      </c>
      <c r="F770" s="469">
        <f t="shared" si="42"/>
        <v>0</v>
      </c>
      <c r="G770" s="935">
        <f t="shared" si="44"/>
        <v>0</v>
      </c>
      <c r="H770" s="938">
        <f t="shared" si="45"/>
        <v>0</v>
      </c>
      <c r="I770" s="509">
        <f t="shared" si="46"/>
        <v>0</v>
      </c>
      <c r="J770" s="509"/>
      <c r="K770" s="640"/>
      <c r="L770" s="514"/>
      <c r="M770" s="640"/>
      <c r="N770" s="514"/>
      <c r="O770" s="514"/>
    </row>
    <row r="771" spans="3:15">
      <c r="C771" s="505">
        <f>IF(D720="","-",+C770+1)</f>
        <v>2058</v>
      </c>
      <c r="D771" s="469">
        <f t="shared" si="43"/>
        <v>0</v>
      </c>
      <c r="E771" s="511">
        <f t="shared" si="47"/>
        <v>0</v>
      </c>
      <c r="F771" s="469">
        <f t="shared" si="42"/>
        <v>0</v>
      </c>
      <c r="G771" s="935">
        <f t="shared" si="44"/>
        <v>0</v>
      </c>
      <c r="H771" s="938">
        <f t="shared" si="45"/>
        <v>0</v>
      </c>
      <c r="I771" s="509">
        <f t="shared" si="46"/>
        <v>0</v>
      </c>
      <c r="J771" s="509"/>
      <c r="K771" s="640"/>
      <c r="L771" s="514"/>
      <c r="M771" s="640"/>
      <c r="N771" s="514"/>
      <c r="O771" s="514"/>
    </row>
    <row r="772" spans="3:15">
      <c r="C772" s="505">
        <f>IF(D720="","-",+C771+1)</f>
        <v>2059</v>
      </c>
      <c r="D772" s="469">
        <f t="shared" si="43"/>
        <v>0</v>
      </c>
      <c r="E772" s="511">
        <f t="shared" si="47"/>
        <v>0</v>
      </c>
      <c r="F772" s="469">
        <f t="shared" si="42"/>
        <v>0</v>
      </c>
      <c r="G772" s="935">
        <f t="shared" si="44"/>
        <v>0</v>
      </c>
      <c r="H772" s="938">
        <f t="shared" si="45"/>
        <v>0</v>
      </c>
      <c r="I772" s="509">
        <f t="shared" si="46"/>
        <v>0</v>
      </c>
      <c r="J772" s="509"/>
      <c r="K772" s="640"/>
      <c r="L772" s="514"/>
      <c r="M772" s="640"/>
      <c r="N772" s="514"/>
      <c r="O772" s="514"/>
    </row>
    <row r="773" spans="3:15">
      <c r="C773" s="505">
        <f>IF(D720="","-",+C772+1)</f>
        <v>2060</v>
      </c>
      <c r="D773" s="469">
        <f t="shared" si="43"/>
        <v>0</v>
      </c>
      <c r="E773" s="511">
        <f t="shared" si="47"/>
        <v>0</v>
      </c>
      <c r="F773" s="469">
        <f t="shared" si="42"/>
        <v>0</v>
      </c>
      <c r="G773" s="935">
        <f t="shared" si="44"/>
        <v>0</v>
      </c>
      <c r="H773" s="938">
        <f t="shared" si="45"/>
        <v>0</v>
      </c>
      <c r="I773" s="509">
        <f t="shared" si="46"/>
        <v>0</v>
      </c>
      <c r="J773" s="509"/>
      <c r="K773" s="640"/>
      <c r="L773" s="514"/>
      <c r="M773" s="640"/>
      <c r="N773" s="514"/>
      <c r="O773" s="514"/>
    </row>
    <row r="774" spans="3:15">
      <c r="C774" s="505">
        <f>IF(D720="","-",+C773+1)</f>
        <v>2061</v>
      </c>
      <c r="D774" s="469">
        <f t="shared" si="43"/>
        <v>0</v>
      </c>
      <c r="E774" s="511">
        <f t="shared" si="47"/>
        <v>0</v>
      </c>
      <c r="F774" s="469">
        <f t="shared" si="42"/>
        <v>0</v>
      </c>
      <c r="G774" s="935">
        <f t="shared" si="44"/>
        <v>0</v>
      </c>
      <c r="H774" s="938">
        <f t="shared" si="45"/>
        <v>0</v>
      </c>
      <c r="I774" s="509">
        <f t="shared" si="46"/>
        <v>0</v>
      </c>
      <c r="J774" s="509"/>
      <c r="K774" s="640"/>
      <c r="L774" s="514"/>
      <c r="M774" s="640"/>
      <c r="N774" s="514"/>
      <c r="O774" s="514"/>
    </row>
    <row r="775" spans="3:15">
      <c r="C775" s="505">
        <f>IF(D720="","-",+C774+1)</f>
        <v>2062</v>
      </c>
      <c r="D775" s="469">
        <f t="shared" si="43"/>
        <v>0</v>
      </c>
      <c r="E775" s="511">
        <f t="shared" si="47"/>
        <v>0</v>
      </c>
      <c r="F775" s="469">
        <f t="shared" si="42"/>
        <v>0</v>
      </c>
      <c r="G775" s="935">
        <f t="shared" si="44"/>
        <v>0</v>
      </c>
      <c r="H775" s="938">
        <f t="shared" si="45"/>
        <v>0</v>
      </c>
      <c r="I775" s="509">
        <f t="shared" si="46"/>
        <v>0</v>
      </c>
      <c r="J775" s="509"/>
      <c r="K775" s="640"/>
      <c r="L775" s="514"/>
      <c r="M775" s="640"/>
      <c r="N775" s="514"/>
      <c r="O775" s="514"/>
    </row>
    <row r="776" spans="3:15">
      <c r="C776" s="505">
        <f>IF(D720="","-",+C775+1)</f>
        <v>2063</v>
      </c>
      <c r="D776" s="469">
        <f t="shared" si="43"/>
        <v>0</v>
      </c>
      <c r="E776" s="511">
        <f t="shared" si="47"/>
        <v>0</v>
      </c>
      <c r="F776" s="469">
        <f t="shared" si="42"/>
        <v>0</v>
      </c>
      <c r="G776" s="935">
        <f t="shared" si="44"/>
        <v>0</v>
      </c>
      <c r="H776" s="938">
        <f t="shared" si="45"/>
        <v>0</v>
      </c>
      <c r="I776" s="509">
        <f t="shared" si="46"/>
        <v>0</v>
      </c>
      <c r="J776" s="509"/>
      <c r="K776" s="640"/>
      <c r="L776" s="514"/>
      <c r="M776" s="640"/>
      <c r="N776" s="514"/>
      <c r="O776" s="514"/>
    </row>
    <row r="777" spans="3:15">
      <c r="C777" s="505">
        <f>IF(D720="","-",+C776+1)</f>
        <v>2064</v>
      </c>
      <c r="D777" s="469">
        <f t="shared" si="43"/>
        <v>0</v>
      </c>
      <c r="E777" s="511">
        <f t="shared" si="47"/>
        <v>0</v>
      </c>
      <c r="F777" s="469">
        <f t="shared" si="42"/>
        <v>0</v>
      </c>
      <c r="G777" s="935">
        <f t="shared" si="44"/>
        <v>0</v>
      </c>
      <c r="H777" s="938">
        <f t="shared" si="45"/>
        <v>0</v>
      </c>
      <c r="I777" s="509">
        <f t="shared" si="46"/>
        <v>0</v>
      </c>
      <c r="J777" s="509"/>
      <c r="K777" s="640"/>
      <c r="L777" s="514"/>
      <c r="M777" s="640"/>
      <c r="N777" s="514"/>
      <c r="O777" s="514"/>
    </row>
    <row r="778" spans="3:15">
      <c r="C778" s="505">
        <f>IF(D720="","-",+C777+1)</f>
        <v>2065</v>
      </c>
      <c r="D778" s="469">
        <f t="shared" si="43"/>
        <v>0</v>
      </c>
      <c r="E778" s="511">
        <f t="shared" si="47"/>
        <v>0</v>
      </c>
      <c r="F778" s="469">
        <f t="shared" si="42"/>
        <v>0</v>
      </c>
      <c r="G778" s="935">
        <f t="shared" si="44"/>
        <v>0</v>
      </c>
      <c r="H778" s="938">
        <f t="shared" si="45"/>
        <v>0</v>
      </c>
      <c r="I778" s="509">
        <f t="shared" si="46"/>
        <v>0</v>
      </c>
      <c r="J778" s="509"/>
      <c r="K778" s="640"/>
      <c r="L778" s="514"/>
      <c r="M778" s="640"/>
      <c r="N778" s="514"/>
      <c r="O778" s="514"/>
    </row>
    <row r="779" spans="3:15">
      <c r="C779" s="505">
        <f>IF(D720="","-",+C778+1)</f>
        <v>2066</v>
      </c>
      <c r="D779" s="469">
        <f t="shared" si="43"/>
        <v>0</v>
      </c>
      <c r="E779" s="511">
        <f t="shared" si="47"/>
        <v>0</v>
      </c>
      <c r="F779" s="469">
        <f t="shared" si="42"/>
        <v>0</v>
      </c>
      <c r="G779" s="935">
        <f t="shared" si="44"/>
        <v>0</v>
      </c>
      <c r="H779" s="938">
        <f t="shared" si="45"/>
        <v>0</v>
      </c>
      <c r="I779" s="509">
        <f t="shared" si="46"/>
        <v>0</v>
      </c>
      <c r="J779" s="509"/>
      <c r="K779" s="640"/>
      <c r="L779" s="514"/>
      <c r="M779" s="640"/>
      <c r="N779" s="514"/>
      <c r="O779" s="514"/>
    </row>
    <row r="780" spans="3:15">
      <c r="C780" s="505">
        <f>IF(D720="","-",+C779+1)</f>
        <v>2067</v>
      </c>
      <c r="D780" s="469">
        <f t="shared" si="43"/>
        <v>0</v>
      </c>
      <c r="E780" s="511">
        <f t="shared" si="47"/>
        <v>0</v>
      </c>
      <c r="F780" s="469">
        <f t="shared" si="42"/>
        <v>0</v>
      </c>
      <c r="G780" s="935">
        <f t="shared" si="44"/>
        <v>0</v>
      </c>
      <c r="H780" s="938">
        <f t="shared" si="45"/>
        <v>0</v>
      </c>
      <c r="I780" s="509">
        <f t="shared" si="46"/>
        <v>0</v>
      </c>
      <c r="J780" s="509"/>
      <c r="K780" s="640"/>
      <c r="L780" s="514"/>
      <c r="M780" s="640"/>
      <c r="N780" s="514"/>
      <c r="O780" s="514"/>
    </row>
    <row r="781" spans="3:15">
      <c r="C781" s="505">
        <f>IF(D720="","-",+C780+1)</f>
        <v>2068</v>
      </c>
      <c r="D781" s="469">
        <f t="shared" si="43"/>
        <v>0</v>
      </c>
      <c r="E781" s="511">
        <f t="shared" si="47"/>
        <v>0</v>
      </c>
      <c r="F781" s="469">
        <f t="shared" si="42"/>
        <v>0</v>
      </c>
      <c r="G781" s="935">
        <f t="shared" si="44"/>
        <v>0</v>
      </c>
      <c r="H781" s="938">
        <f t="shared" si="45"/>
        <v>0</v>
      </c>
      <c r="I781" s="509">
        <f t="shared" si="46"/>
        <v>0</v>
      </c>
      <c r="J781" s="509"/>
      <c r="K781" s="640"/>
      <c r="L781" s="514"/>
      <c r="M781" s="640"/>
      <c r="N781" s="514"/>
      <c r="O781" s="514"/>
    </row>
    <row r="782" spans="3:15">
      <c r="C782" s="505">
        <f>IF(D720="","-",+C781+1)</f>
        <v>2069</v>
      </c>
      <c r="D782" s="469">
        <f t="shared" si="43"/>
        <v>0</v>
      </c>
      <c r="E782" s="511">
        <f t="shared" si="47"/>
        <v>0</v>
      </c>
      <c r="F782" s="469">
        <f t="shared" si="42"/>
        <v>0</v>
      </c>
      <c r="G782" s="935">
        <f t="shared" si="44"/>
        <v>0</v>
      </c>
      <c r="H782" s="938">
        <f t="shared" si="45"/>
        <v>0</v>
      </c>
      <c r="I782" s="509">
        <f t="shared" si="46"/>
        <v>0</v>
      </c>
      <c r="J782" s="509"/>
      <c r="K782" s="640"/>
      <c r="L782" s="514"/>
      <c r="M782" s="640"/>
      <c r="N782" s="514"/>
      <c r="O782" s="514"/>
    </row>
    <row r="783" spans="3:15">
      <c r="C783" s="505">
        <f>IF(D720="","-",+C782+1)</f>
        <v>2070</v>
      </c>
      <c r="D783" s="469">
        <f t="shared" si="43"/>
        <v>0</v>
      </c>
      <c r="E783" s="511">
        <f t="shared" si="47"/>
        <v>0</v>
      </c>
      <c r="F783" s="469">
        <f t="shared" si="42"/>
        <v>0</v>
      </c>
      <c r="G783" s="935">
        <f t="shared" si="44"/>
        <v>0</v>
      </c>
      <c r="H783" s="938">
        <f t="shared" si="45"/>
        <v>0</v>
      </c>
      <c r="I783" s="509">
        <f t="shared" si="46"/>
        <v>0</v>
      </c>
      <c r="J783" s="509"/>
      <c r="K783" s="640"/>
      <c r="L783" s="514"/>
      <c r="M783" s="640"/>
      <c r="N783" s="514"/>
      <c r="O783" s="514"/>
    </row>
    <row r="784" spans="3:15">
      <c r="C784" s="505">
        <f>IF(D720="","-",+C783+1)</f>
        <v>2071</v>
      </c>
      <c r="D784" s="469">
        <f t="shared" si="43"/>
        <v>0</v>
      </c>
      <c r="E784" s="511">
        <f t="shared" si="47"/>
        <v>0</v>
      </c>
      <c r="F784" s="469">
        <f t="shared" si="42"/>
        <v>0</v>
      </c>
      <c r="G784" s="935">
        <f t="shared" si="44"/>
        <v>0</v>
      </c>
      <c r="H784" s="938">
        <f t="shared" si="45"/>
        <v>0</v>
      </c>
      <c r="I784" s="509">
        <f t="shared" si="46"/>
        <v>0</v>
      </c>
      <c r="J784" s="509"/>
      <c r="K784" s="640"/>
      <c r="L784" s="514"/>
      <c r="M784" s="640"/>
      <c r="N784" s="514"/>
      <c r="O784" s="514"/>
    </row>
    <row r="785" spans="1:16" ht="13.5" thickBot="1">
      <c r="C785" s="515">
        <f>IF(D720="","-",+C784+1)</f>
        <v>2072</v>
      </c>
      <c r="D785" s="516">
        <f t="shared" si="43"/>
        <v>0</v>
      </c>
      <c r="E785" s="517">
        <f t="shared" si="47"/>
        <v>0</v>
      </c>
      <c r="F785" s="516">
        <f t="shared" si="42"/>
        <v>0</v>
      </c>
      <c r="G785" s="946">
        <f t="shared" si="44"/>
        <v>0</v>
      </c>
      <c r="H785" s="946">
        <f t="shared" si="45"/>
        <v>0</v>
      </c>
      <c r="I785" s="519">
        <f t="shared" si="46"/>
        <v>0</v>
      </c>
      <c r="J785" s="509"/>
      <c r="K785" s="641"/>
      <c r="L785" s="521"/>
      <c r="M785" s="641"/>
      <c r="N785" s="521"/>
      <c r="O785" s="521"/>
    </row>
    <row r="786" spans="1:16">
      <c r="C786" s="469" t="s">
        <v>288</v>
      </c>
      <c r="D786" s="915"/>
      <c r="E786" s="469"/>
      <c r="F786" s="915"/>
      <c r="G786" s="915">
        <f>SUM(G726:G785)</f>
        <v>492472.79216607765</v>
      </c>
      <c r="H786" s="915">
        <f>SUM(H726:H785)</f>
        <v>492472.79216607765</v>
      </c>
      <c r="I786" s="915">
        <f>SUM(I726:I785)</f>
        <v>0</v>
      </c>
      <c r="J786" s="915"/>
      <c r="K786" s="915"/>
      <c r="L786" s="915"/>
      <c r="M786" s="915"/>
      <c r="N786" s="915"/>
      <c r="O786" s="4"/>
    </row>
    <row r="787" spans="1:16">
      <c r="D787" s="79"/>
      <c r="E787" s="4"/>
      <c r="F787" s="4"/>
      <c r="G787" s="4"/>
      <c r="H787" s="914"/>
      <c r="I787" s="914"/>
      <c r="J787" s="915"/>
      <c r="K787" s="914"/>
      <c r="L787" s="914"/>
      <c r="M787" s="914"/>
      <c r="N787" s="914"/>
      <c r="O787" s="4"/>
    </row>
    <row r="788" spans="1:16">
      <c r="C788" s="4" t="s">
        <v>595</v>
      </c>
      <c r="D788" s="79"/>
      <c r="E788" s="4"/>
      <c r="F788" s="4"/>
      <c r="G788" s="4"/>
      <c r="H788" s="914"/>
      <c r="I788" s="914"/>
      <c r="J788" s="915"/>
      <c r="K788" s="914"/>
      <c r="L788" s="914"/>
      <c r="M788" s="914"/>
      <c r="N788" s="914"/>
      <c r="O788" s="4"/>
    </row>
    <row r="789" spans="1:16">
      <c r="C789" s="4"/>
      <c r="D789" s="79"/>
      <c r="E789" s="4"/>
      <c r="F789" s="4"/>
      <c r="G789" s="4"/>
      <c r="H789" s="914"/>
      <c r="I789" s="914"/>
      <c r="J789" s="915"/>
      <c r="K789" s="914"/>
      <c r="L789" s="914"/>
      <c r="M789" s="914"/>
      <c r="N789" s="914"/>
      <c r="O789" s="4"/>
    </row>
    <row r="790" spans="1:16">
      <c r="C790" s="479" t="s">
        <v>924</v>
      </c>
      <c r="D790" s="469"/>
      <c r="E790" s="469"/>
      <c r="F790" s="469"/>
      <c r="G790" s="915"/>
      <c r="H790" s="915"/>
      <c r="I790" s="471"/>
      <c r="J790" s="471"/>
      <c r="K790" s="471"/>
      <c r="L790" s="471"/>
      <c r="M790" s="471"/>
      <c r="N790" s="471"/>
      <c r="O790" s="4"/>
    </row>
    <row r="791" spans="1:16">
      <c r="C791" s="479" t="s">
        <v>476</v>
      </c>
      <c r="D791" s="469"/>
      <c r="E791" s="469"/>
      <c r="F791" s="469"/>
      <c r="G791" s="915"/>
      <c r="H791" s="915"/>
      <c r="I791" s="471"/>
      <c r="J791" s="471"/>
      <c r="K791" s="471"/>
      <c r="L791" s="471"/>
      <c r="M791" s="471"/>
      <c r="N791" s="471"/>
      <c r="O791" s="4"/>
    </row>
    <row r="792" spans="1:16">
      <c r="C792" s="470" t="s">
        <v>289</v>
      </c>
      <c r="D792" s="469"/>
      <c r="E792" s="469"/>
      <c r="F792" s="469"/>
      <c r="G792" s="915"/>
      <c r="H792" s="915"/>
      <c r="I792" s="471"/>
      <c r="J792" s="471"/>
      <c r="K792" s="471"/>
      <c r="L792" s="471"/>
      <c r="M792" s="471"/>
      <c r="N792" s="471"/>
      <c r="O792" s="4"/>
    </row>
    <row r="793" spans="1:16">
      <c r="C793" s="470"/>
      <c r="D793" s="469"/>
      <c r="E793" s="469"/>
      <c r="F793" s="469"/>
      <c r="G793" s="915"/>
      <c r="H793" s="915"/>
      <c r="I793" s="471"/>
      <c r="J793" s="471"/>
      <c r="K793" s="471"/>
      <c r="L793" s="471"/>
      <c r="M793" s="471"/>
      <c r="N793" s="471"/>
      <c r="O793" s="4"/>
    </row>
    <row r="794" spans="1:16">
      <c r="C794" s="1275" t="s">
        <v>460</v>
      </c>
      <c r="D794" s="1275"/>
      <c r="E794" s="1275"/>
      <c r="F794" s="1275"/>
      <c r="G794" s="1275"/>
      <c r="H794" s="1275"/>
      <c r="I794" s="1275"/>
      <c r="J794" s="1275"/>
      <c r="K794" s="1275"/>
      <c r="L794" s="1275"/>
      <c r="M794" s="1275"/>
      <c r="N794" s="1275"/>
      <c r="O794" s="1275"/>
    </row>
    <row r="795" spans="1:16">
      <c r="C795" s="1275"/>
      <c r="D795" s="1275"/>
      <c r="E795" s="1275"/>
      <c r="F795" s="1275"/>
      <c r="G795" s="1275"/>
      <c r="H795" s="1275"/>
      <c r="I795" s="1275"/>
      <c r="J795" s="1275"/>
      <c r="K795" s="1275"/>
      <c r="L795" s="1275"/>
      <c r="M795" s="1275"/>
      <c r="N795" s="1275"/>
      <c r="O795" s="1275"/>
    </row>
    <row r="796" spans="1:16" ht="20.25">
      <c r="A796" s="411" t="s">
        <v>921</v>
      </c>
      <c r="B796" s="4"/>
      <c r="C796" s="4"/>
      <c r="D796" s="79"/>
      <c r="E796" s="4"/>
      <c r="F796" s="81"/>
      <c r="G796" s="4"/>
      <c r="H796" s="914"/>
      <c r="K796" s="11"/>
      <c r="L796" s="11"/>
      <c r="M796" s="11"/>
      <c r="N796" s="11" t="str">
        <f>"Page "&amp;SUM(P$6:P796)&amp;" of "</f>
        <v xml:space="preserve">Page 9 of </v>
      </c>
      <c r="O796" s="412">
        <f>COUNT(P$6:P$59579)</f>
        <v>22</v>
      </c>
      <c r="P796" s="4">
        <v>1</v>
      </c>
    </row>
    <row r="797" spans="1:16">
      <c r="B797" s="4"/>
      <c r="C797" s="4"/>
      <c r="D797" s="79"/>
      <c r="E797" s="4"/>
      <c r="F797" s="4"/>
      <c r="G797" s="4"/>
      <c r="H797" s="914"/>
      <c r="I797" s="4"/>
      <c r="J797" s="4"/>
      <c r="K797" s="4"/>
      <c r="L797" s="4"/>
      <c r="M797" s="4"/>
      <c r="N797" s="4"/>
      <c r="O797" s="4"/>
    </row>
    <row r="798" spans="1:16" ht="18">
      <c r="B798" s="413" t="s">
        <v>174</v>
      </c>
      <c r="C798" s="472" t="s">
        <v>290</v>
      </c>
      <c r="D798" s="79"/>
      <c r="E798" s="4"/>
      <c r="F798" s="4"/>
      <c r="G798" s="4"/>
      <c r="H798" s="914"/>
      <c r="I798" s="914"/>
      <c r="J798" s="915"/>
      <c r="K798" s="914"/>
      <c r="L798" s="914"/>
      <c r="M798" s="914"/>
      <c r="N798" s="914"/>
      <c r="O798" s="4"/>
    </row>
    <row r="799" spans="1:16" ht="18.75">
      <c r="B799" s="413"/>
      <c r="C799" s="13"/>
      <c r="D799" s="79"/>
      <c r="E799" s="4"/>
      <c r="F799" s="4"/>
      <c r="G799" s="4"/>
      <c r="H799" s="914"/>
      <c r="I799" s="914"/>
      <c r="J799" s="915"/>
      <c r="K799" s="914"/>
      <c r="L799" s="914"/>
      <c r="M799" s="914"/>
      <c r="N799" s="914"/>
      <c r="O799" s="4"/>
    </row>
    <row r="800" spans="1:16" ht="18.75">
      <c r="B800" s="413"/>
      <c r="C800" s="13" t="s">
        <v>291</v>
      </c>
      <c r="D800" s="79"/>
      <c r="E800" s="4"/>
      <c r="F800" s="4"/>
      <c r="G800" s="4"/>
      <c r="H800" s="914"/>
      <c r="I800" s="914"/>
      <c r="J800" s="915"/>
      <c r="K800" s="914"/>
      <c r="L800" s="914"/>
      <c r="M800" s="914"/>
      <c r="N800" s="914"/>
      <c r="O800" s="4"/>
    </row>
    <row r="801" spans="1:15" ht="15.75" thickBot="1">
      <c r="C801" s="247"/>
      <c r="D801" s="79"/>
      <c r="E801" s="4"/>
      <c r="F801" s="4"/>
      <c r="G801" s="4"/>
      <c r="H801" s="914"/>
      <c r="I801" s="914"/>
      <c r="J801" s="915"/>
      <c r="K801" s="914"/>
      <c r="L801" s="914"/>
      <c r="M801" s="914"/>
      <c r="N801" s="914"/>
      <c r="O801" s="4"/>
    </row>
    <row r="802" spans="1:15" ht="15.75">
      <c r="C802" s="414" t="s">
        <v>292</v>
      </c>
      <c r="D802" s="79"/>
      <c r="E802" s="4"/>
      <c r="F802" s="4"/>
      <c r="G802" s="948"/>
      <c r="H802" s="4" t="s">
        <v>271</v>
      </c>
      <c r="I802" s="4"/>
      <c r="J802" s="4"/>
      <c r="K802" s="473" t="s">
        <v>296</v>
      </c>
      <c r="L802" s="474"/>
      <c r="M802" s="475"/>
      <c r="N802" s="917">
        <f>VLOOKUP(I808,C815:O874,5)</f>
        <v>561054.17234183475</v>
      </c>
      <c r="O802" s="4"/>
    </row>
    <row r="803" spans="1:15" ht="15.75">
      <c r="C803" s="414"/>
      <c r="D803" s="79"/>
      <c r="E803" s="4"/>
      <c r="F803" s="4"/>
      <c r="G803" s="4"/>
      <c r="H803" s="918"/>
      <c r="I803" s="918"/>
      <c r="J803" s="919"/>
      <c r="K803" s="478" t="s">
        <v>297</v>
      </c>
      <c r="L803" s="920"/>
      <c r="M803" s="4"/>
      <c r="N803" s="921">
        <f>VLOOKUP(I808,C815:O874,6)</f>
        <v>561054.17234183475</v>
      </c>
      <c r="O803" s="4"/>
    </row>
    <row r="804" spans="1:15" ht="13.5" thickBot="1">
      <c r="C804" s="479" t="s">
        <v>293</v>
      </c>
      <c r="D804" s="1276" t="s">
        <v>932</v>
      </c>
      <c r="E804" s="1276"/>
      <c r="F804" s="1276"/>
      <c r="G804" s="1276"/>
      <c r="H804" s="1276"/>
      <c r="I804" s="1276"/>
      <c r="J804" s="915"/>
      <c r="K804" s="922" t="s">
        <v>450</v>
      </c>
      <c r="L804" s="923"/>
      <c r="M804" s="923"/>
      <c r="N804" s="924">
        <f>+N803-N802</f>
        <v>0</v>
      </c>
      <c r="O804" s="4"/>
    </row>
    <row r="805" spans="1:15">
      <c r="C805" s="481"/>
      <c r="D805" s="482"/>
      <c r="E805" s="469"/>
      <c r="F805" s="469"/>
      <c r="G805" s="483"/>
      <c r="H805" s="914"/>
      <c r="I805" s="914"/>
      <c r="J805" s="915"/>
      <c r="K805" s="914"/>
      <c r="L805" s="914"/>
      <c r="M805" s="914"/>
      <c r="N805" s="914"/>
      <c r="O805" s="4"/>
    </row>
    <row r="806" spans="1:15" ht="13.5" thickBot="1">
      <c r="C806" s="481"/>
      <c r="D806" s="925"/>
      <c r="E806" s="483"/>
      <c r="F806" s="483"/>
      <c r="G806" s="483"/>
      <c r="H806" s="483"/>
      <c r="I806" s="483"/>
      <c r="J806" s="483"/>
      <c r="K806" s="483"/>
      <c r="L806" s="483"/>
      <c r="M806" s="483"/>
      <c r="N806" s="483"/>
      <c r="O806" s="4"/>
    </row>
    <row r="807" spans="1:15" ht="13.5" thickBot="1">
      <c r="C807" s="484" t="s">
        <v>294</v>
      </c>
      <c r="D807" s="485"/>
      <c r="E807" s="485"/>
      <c r="F807" s="485"/>
      <c r="G807" s="485"/>
      <c r="H807" s="485"/>
      <c r="I807" s="486"/>
      <c r="K807" s="4"/>
      <c r="L807" s="4"/>
      <c r="M807" s="4"/>
      <c r="N807" s="4"/>
      <c r="O807" s="4"/>
    </row>
    <row r="808" spans="1:15" ht="15">
      <c r="C808" s="487" t="s">
        <v>272</v>
      </c>
      <c r="D808" s="926">
        <v>3459640</v>
      </c>
      <c r="E808" s="4" t="s">
        <v>273</v>
      </c>
      <c r="G808" s="79"/>
      <c r="H808" s="79"/>
      <c r="I808" s="488">
        <v>2018</v>
      </c>
      <c r="J808" s="135"/>
      <c r="K808" s="1277" t="s">
        <v>459</v>
      </c>
      <c r="L808" s="1277"/>
      <c r="M808" s="1277"/>
      <c r="N808" s="1277"/>
      <c r="O808" s="1277"/>
    </row>
    <row r="809" spans="1:15">
      <c r="C809" s="487" t="s">
        <v>275</v>
      </c>
      <c r="D809" s="636">
        <v>2015</v>
      </c>
      <c r="E809" s="487" t="s">
        <v>276</v>
      </c>
      <c r="F809" s="79"/>
      <c r="H809"/>
      <c r="I809" s="927">
        <f>IF(G802="",0,$F$15)</f>
        <v>0</v>
      </c>
      <c r="J809" s="489"/>
      <c r="K809" s="915" t="s">
        <v>459</v>
      </c>
    </row>
    <row r="810" spans="1:15">
      <c r="C810" s="487" t="s">
        <v>277</v>
      </c>
      <c r="D810" s="926">
        <v>3</v>
      </c>
      <c r="E810" s="487" t="s">
        <v>278</v>
      </c>
      <c r="F810" s="79"/>
      <c r="H810"/>
      <c r="I810" s="490">
        <f>$G$70</f>
        <v>0.14996626714737105</v>
      </c>
      <c r="J810" s="81"/>
      <c r="K810" t="str">
        <f>"          INPUT PROJECTED ARR (WITH &amp; WITHOUT INCENTIVES) FROM EACH PRIOR YEAR"</f>
        <v xml:space="preserve">          INPUT PROJECTED ARR (WITH &amp; WITHOUT INCENTIVES) FROM EACH PRIOR YEAR</v>
      </c>
    </row>
    <row r="811" spans="1:15">
      <c r="C811" s="487" t="s">
        <v>279</v>
      </c>
      <c r="D811" s="491">
        <f>G$79</f>
        <v>42</v>
      </c>
      <c r="E811" s="487" t="s">
        <v>280</v>
      </c>
      <c r="F811" s="79"/>
      <c r="H811"/>
      <c r="I811" s="490">
        <f>IF(G802="",I810,$G$67)</f>
        <v>0.14996626714737105</v>
      </c>
      <c r="J811" s="81"/>
      <c r="K811" t="s">
        <v>357</v>
      </c>
    </row>
    <row r="812" spans="1:15" ht="13.5" thickBot="1">
      <c r="C812" s="487" t="s">
        <v>281</v>
      </c>
      <c r="D812" s="637" t="s">
        <v>923</v>
      </c>
      <c r="E812" s="492" t="s">
        <v>282</v>
      </c>
      <c r="F812" s="493"/>
      <c r="G812" s="494"/>
      <c r="H812" s="494"/>
      <c r="I812" s="924">
        <f>IF(D808=0,0,D808/D811)</f>
        <v>82372.380952380947</v>
      </c>
      <c r="J812" s="915"/>
      <c r="K812" s="915" t="s">
        <v>363</v>
      </c>
      <c r="L812" s="915"/>
      <c r="M812" s="915"/>
      <c r="N812" s="915"/>
      <c r="O812" s="4"/>
    </row>
    <row r="813" spans="1:15" ht="51">
      <c r="A813" s="12"/>
      <c r="B813" s="12"/>
      <c r="C813" s="495" t="s">
        <v>272</v>
      </c>
      <c r="D813" s="928" t="s">
        <v>283</v>
      </c>
      <c r="E813" s="929" t="s">
        <v>284</v>
      </c>
      <c r="F813" s="928" t="s">
        <v>285</v>
      </c>
      <c r="G813" s="929" t="s">
        <v>356</v>
      </c>
      <c r="H813" s="930" t="s">
        <v>356</v>
      </c>
      <c r="I813" s="495" t="s">
        <v>295</v>
      </c>
      <c r="J813" s="499"/>
      <c r="K813" s="929" t="s">
        <v>365</v>
      </c>
      <c r="L813" s="931"/>
      <c r="M813" s="929" t="s">
        <v>365</v>
      </c>
      <c r="N813" s="931"/>
      <c r="O813" s="931"/>
    </row>
    <row r="814" spans="1:15" ht="13.5" thickBot="1">
      <c r="C814" s="500" t="s">
        <v>177</v>
      </c>
      <c r="D814" s="501" t="s">
        <v>178</v>
      </c>
      <c r="E814" s="500" t="s">
        <v>37</v>
      </c>
      <c r="F814" s="501" t="s">
        <v>178</v>
      </c>
      <c r="G814" s="932" t="s">
        <v>298</v>
      </c>
      <c r="H814" s="933" t="s">
        <v>300</v>
      </c>
      <c r="I814" s="500" t="s">
        <v>389</v>
      </c>
      <c r="J814" s="504"/>
      <c r="K814" s="932" t="s">
        <v>287</v>
      </c>
      <c r="L814" s="934"/>
      <c r="M814" s="932" t="s">
        <v>300</v>
      </c>
      <c r="N814" s="934"/>
      <c r="O814" s="934"/>
    </row>
    <row r="815" spans="1:15">
      <c r="C815" s="505">
        <f>IF(D809= "","-",D809)</f>
        <v>2015</v>
      </c>
      <c r="D815" s="469">
        <f>+D808</f>
        <v>3459640</v>
      </c>
      <c r="E815" s="935">
        <f>+I812/12*(12-D810)</f>
        <v>61779.28571428571</v>
      </c>
      <c r="F815" s="469">
        <f t="shared" ref="F815:F874" si="48">+D815-E815</f>
        <v>3397860.7142857141</v>
      </c>
      <c r="G815" s="936">
        <f>+$I$810*((D815+F815)/2)+E815</f>
        <v>575976.17775521532</v>
      </c>
      <c r="H815" s="937">
        <f>$I$811*((D815+F815)/2)+E815</f>
        <v>575976.17775521532</v>
      </c>
      <c r="I815" s="509">
        <f>+H815-G815</f>
        <v>0</v>
      </c>
      <c r="J815" s="509"/>
      <c r="K815" s="639">
        <v>652736</v>
      </c>
      <c r="L815" s="510"/>
      <c r="M815" s="639">
        <v>652736</v>
      </c>
      <c r="N815" s="510"/>
      <c r="O815" s="510"/>
    </row>
    <row r="816" spans="1:15">
      <c r="C816" s="505">
        <f>IF(D809="","-",+C815+1)</f>
        <v>2016</v>
      </c>
      <c r="D816" s="469">
        <f t="shared" ref="D816:D874" si="49">F815</f>
        <v>3397860.7142857141</v>
      </c>
      <c r="E816" s="511">
        <f>IF(D816&gt;$I$812,$I$812,D816)</f>
        <v>82372.380952380947</v>
      </c>
      <c r="F816" s="469">
        <f t="shared" si="48"/>
        <v>3315488.333333333</v>
      </c>
      <c r="G816" s="935">
        <f t="shared" ref="G816:G874" si="50">+$I$810*((D816+F816)/2)+E816</f>
        <v>585760.32931677438</v>
      </c>
      <c r="H816" s="938">
        <f t="shared" ref="H816:H874" si="51">$I$811*((D816+F816)/2)+E816</f>
        <v>585760.32931677438</v>
      </c>
      <c r="I816" s="509">
        <f t="shared" ref="I816:I874" si="52">+H816-G816</f>
        <v>0</v>
      </c>
      <c r="J816" s="509"/>
      <c r="K816" s="640">
        <v>666514</v>
      </c>
      <c r="L816" s="514"/>
      <c r="M816" s="640">
        <v>666514</v>
      </c>
      <c r="N816" s="514"/>
      <c r="O816" s="514"/>
    </row>
    <row r="817" spans="3:15">
      <c r="C817" s="505">
        <f>IF(D809="","-",+C816+1)</f>
        <v>2017</v>
      </c>
      <c r="D817" s="469">
        <f t="shared" si="49"/>
        <v>3315488.333333333</v>
      </c>
      <c r="E817" s="511">
        <f t="shared" ref="E817:E874" si="53">IF(D817&gt;$I$812,$I$812,D817)</f>
        <v>82372.380952380947</v>
      </c>
      <c r="F817" s="469">
        <f t="shared" si="48"/>
        <v>3233115.952380952</v>
      </c>
      <c r="G817" s="935">
        <f t="shared" si="50"/>
        <v>573407.25082930468</v>
      </c>
      <c r="H817" s="938">
        <f t="shared" si="51"/>
        <v>573407.25082930468</v>
      </c>
      <c r="I817" s="509">
        <f t="shared" si="52"/>
        <v>0</v>
      </c>
      <c r="J817" s="509"/>
      <c r="K817" s="640">
        <v>674329</v>
      </c>
      <c r="L817" s="514"/>
      <c r="M817" s="640">
        <v>674329</v>
      </c>
      <c r="N817" s="514"/>
      <c r="O817" s="514"/>
    </row>
    <row r="818" spans="3:15">
      <c r="C818" s="940">
        <f>IF(D809="","-",+C817+1)</f>
        <v>2018</v>
      </c>
      <c r="D818" s="941">
        <f t="shared" si="49"/>
        <v>3233115.952380952</v>
      </c>
      <c r="E818" s="942">
        <f t="shared" si="53"/>
        <v>82372.380952380947</v>
      </c>
      <c r="F818" s="941">
        <f t="shared" si="48"/>
        <v>3150743.5714285709</v>
      </c>
      <c r="G818" s="943">
        <f t="shared" si="50"/>
        <v>561054.17234183475</v>
      </c>
      <c r="H818" s="944">
        <f t="shared" si="51"/>
        <v>561054.17234183475</v>
      </c>
      <c r="I818" s="945">
        <f t="shared" si="52"/>
        <v>0</v>
      </c>
      <c r="J818" s="509"/>
      <c r="K818" s="640"/>
      <c r="L818" s="514"/>
      <c r="M818" s="640"/>
      <c r="N818" s="514"/>
      <c r="O818" s="514"/>
    </row>
    <row r="819" spans="3:15">
      <c r="C819" s="505">
        <f>IF(D809="","-",+C818+1)</f>
        <v>2019</v>
      </c>
      <c r="D819" s="469">
        <f t="shared" si="49"/>
        <v>3150743.5714285709</v>
      </c>
      <c r="E819" s="511">
        <f t="shared" si="53"/>
        <v>82372.380952380947</v>
      </c>
      <c r="F819" s="469">
        <f t="shared" si="48"/>
        <v>3068371.1904761898</v>
      </c>
      <c r="G819" s="935">
        <f t="shared" si="50"/>
        <v>548701.09385436517</v>
      </c>
      <c r="H819" s="938">
        <f t="shared" si="51"/>
        <v>548701.09385436517</v>
      </c>
      <c r="I819" s="509">
        <f t="shared" si="52"/>
        <v>0</v>
      </c>
      <c r="J819" s="509"/>
      <c r="K819" s="640"/>
      <c r="L819" s="514"/>
      <c r="M819" s="640"/>
      <c r="N819" s="514"/>
      <c r="O819" s="514"/>
    </row>
    <row r="820" spans="3:15">
      <c r="C820" s="505">
        <f>IF(D809="","-",+C819+1)</f>
        <v>2020</v>
      </c>
      <c r="D820" s="469">
        <f t="shared" si="49"/>
        <v>3068371.1904761898</v>
      </c>
      <c r="E820" s="511">
        <f t="shared" si="53"/>
        <v>82372.380952380947</v>
      </c>
      <c r="F820" s="469">
        <f t="shared" si="48"/>
        <v>2985998.8095238088</v>
      </c>
      <c r="G820" s="935">
        <f t="shared" si="50"/>
        <v>536348.01536689524</v>
      </c>
      <c r="H820" s="938">
        <f t="shared" si="51"/>
        <v>536348.01536689524</v>
      </c>
      <c r="I820" s="509">
        <f t="shared" si="52"/>
        <v>0</v>
      </c>
      <c r="J820" s="509"/>
      <c r="K820" s="640"/>
      <c r="L820" s="514"/>
      <c r="M820" s="640"/>
      <c r="N820" s="514"/>
      <c r="O820" s="514"/>
    </row>
    <row r="821" spans="3:15">
      <c r="C821" s="505">
        <f>IF(D809="","-",+C820+1)</f>
        <v>2021</v>
      </c>
      <c r="D821" s="469">
        <f t="shared" si="49"/>
        <v>2985998.8095238088</v>
      </c>
      <c r="E821" s="511">
        <f t="shared" si="53"/>
        <v>82372.380952380947</v>
      </c>
      <c r="F821" s="469">
        <f t="shared" si="48"/>
        <v>2903626.4285714277</v>
      </c>
      <c r="G821" s="935">
        <f t="shared" si="50"/>
        <v>523994.93687942548</v>
      </c>
      <c r="H821" s="938">
        <f t="shared" si="51"/>
        <v>523994.93687942548</v>
      </c>
      <c r="I821" s="509">
        <f t="shared" si="52"/>
        <v>0</v>
      </c>
      <c r="J821" s="509"/>
      <c r="K821" s="640"/>
      <c r="L821" s="514"/>
      <c r="M821" s="640"/>
      <c r="N821" s="514"/>
      <c r="O821" s="514"/>
    </row>
    <row r="822" spans="3:15">
      <c r="C822" s="505">
        <f>IF(D809="","-",+C821+1)</f>
        <v>2022</v>
      </c>
      <c r="D822" s="469">
        <f t="shared" si="49"/>
        <v>2903626.4285714277</v>
      </c>
      <c r="E822" s="511">
        <f t="shared" si="53"/>
        <v>82372.380952380947</v>
      </c>
      <c r="F822" s="469">
        <f t="shared" si="48"/>
        <v>2821254.0476190466</v>
      </c>
      <c r="G822" s="935">
        <f t="shared" si="50"/>
        <v>511641.85839195561</v>
      </c>
      <c r="H822" s="938">
        <f t="shared" si="51"/>
        <v>511641.85839195561</v>
      </c>
      <c r="I822" s="509">
        <f t="shared" si="52"/>
        <v>0</v>
      </c>
      <c r="J822" s="509"/>
      <c r="K822" s="640"/>
      <c r="L822" s="514"/>
      <c r="M822" s="640"/>
      <c r="N822" s="514"/>
      <c r="O822" s="514"/>
    </row>
    <row r="823" spans="3:15">
      <c r="C823" s="505">
        <f>IF(D809="","-",+C822+1)</f>
        <v>2023</v>
      </c>
      <c r="D823" s="469">
        <f t="shared" si="49"/>
        <v>2821254.0476190466</v>
      </c>
      <c r="E823" s="511">
        <f t="shared" si="53"/>
        <v>82372.380952380947</v>
      </c>
      <c r="F823" s="469">
        <f t="shared" si="48"/>
        <v>2738881.6666666656</v>
      </c>
      <c r="G823" s="935">
        <f t="shared" si="50"/>
        <v>499288.77990448591</v>
      </c>
      <c r="H823" s="938">
        <f t="shared" si="51"/>
        <v>499288.77990448591</v>
      </c>
      <c r="I823" s="509">
        <f t="shared" si="52"/>
        <v>0</v>
      </c>
      <c r="J823" s="509"/>
      <c r="K823" s="640"/>
      <c r="L823" s="514"/>
      <c r="M823" s="640"/>
      <c r="N823" s="514"/>
      <c r="O823" s="514"/>
    </row>
    <row r="824" spans="3:15">
      <c r="C824" s="505">
        <f>IF(D809="","-",+C823+1)</f>
        <v>2024</v>
      </c>
      <c r="D824" s="469">
        <f t="shared" si="49"/>
        <v>2738881.6666666656</v>
      </c>
      <c r="E824" s="511">
        <f t="shared" si="53"/>
        <v>82372.380952380947</v>
      </c>
      <c r="F824" s="469">
        <f t="shared" si="48"/>
        <v>2656509.2857142845</v>
      </c>
      <c r="G824" s="935">
        <f t="shared" si="50"/>
        <v>486935.70141701604</v>
      </c>
      <c r="H824" s="938">
        <f t="shared" si="51"/>
        <v>486935.70141701604</v>
      </c>
      <c r="I824" s="509">
        <f t="shared" si="52"/>
        <v>0</v>
      </c>
      <c r="J824" s="509"/>
      <c r="K824" s="640"/>
      <c r="L824" s="514"/>
      <c r="M824" s="640"/>
      <c r="N824" s="514"/>
      <c r="O824" s="514"/>
    </row>
    <row r="825" spans="3:15">
      <c r="C825" s="505">
        <f>IF(D809="","-",+C824+1)</f>
        <v>2025</v>
      </c>
      <c r="D825" s="469">
        <f t="shared" si="49"/>
        <v>2656509.2857142845</v>
      </c>
      <c r="E825" s="511">
        <f t="shared" si="53"/>
        <v>82372.380952380947</v>
      </c>
      <c r="F825" s="469">
        <f t="shared" si="48"/>
        <v>2574136.9047619035</v>
      </c>
      <c r="G825" s="935">
        <f t="shared" si="50"/>
        <v>474582.62292954634</v>
      </c>
      <c r="H825" s="938">
        <f t="shared" si="51"/>
        <v>474582.62292954634</v>
      </c>
      <c r="I825" s="509">
        <f t="shared" si="52"/>
        <v>0</v>
      </c>
      <c r="J825" s="509"/>
      <c r="K825" s="640"/>
      <c r="L825" s="514"/>
      <c r="M825" s="640"/>
      <c r="N825" s="514"/>
      <c r="O825" s="514"/>
    </row>
    <row r="826" spans="3:15">
      <c r="C826" s="505">
        <f>IF(D809="","-",+C825+1)</f>
        <v>2026</v>
      </c>
      <c r="D826" s="469">
        <f t="shared" si="49"/>
        <v>2574136.9047619035</v>
      </c>
      <c r="E826" s="511">
        <f t="shared" si="53"/>
        <v>82372.380952380947</v>
      </c>
      <c r="F826" s="469">
        <f t="shared" si="48"/>
        <v>2491764.5238095224</v>
      </c>
      <c r="G826" s="935">
        <f t="shared" si="50"/>
        <v>462229.54444207647</v>
      </c>
      <c r="H826" s="938">
        <f t="shared" si="51"/>
        <v>462229.54444207647</v>
      </c>
      <c r="I826" s="509">
        <f t="shared" si="52"/>
        <v>0</v>
      </c>
      <c r="J826" s="509"/>
      <c r="K826" s="640"/>
      <c r="L826" s="514"/>
      <c r="M826" s="640"/>
      <c r="N826" s="514"/>
      <c r="O826" s="514"/>
    </row>
    <row r="827" spans="3:15">
      <c r="C827" s="505">
        <f>IF(D809="","-",+C826+1)</f>
        <v>2027</v>
      </c>
      <c r="D827" s="469">
        <f t="shared" si="49"/>
        <v>2491764.5238095224</v>
      </c>
      <c r="E827" s="511">
        <f t="shared" si="53"/>
        <v>82372.380952380947</v>
      </c>
      <c r="F827" s="469">
        <f t="shared" si="48"/>
        <v>2409392.1428571413</v>
      </c>
      <c r="G827" s="935">
        <f t="shared" si="50"/>
        <v>449876.46595460671</v>
      </c>
      <c r="H827" s="938">
        <f t="shared" si="51"/>
        <v>449876.46595460671</v>
      </c>
      <c r="I827" s="509">
        <f t="shared" si="52"/>
        <v>0</v>
      </c>
      <c r="J827" s="509"/>
      <c r="K827" s="640"/>
      <c r="L827" s="514"/>
      <c r="M827" s="640"/>
      <c r="N827" s="514"/>
      <c r="O827" s="514"/>
    </row>
    <row r="828" spans="3:15">
      <c r="C828" s="505">
        <f>IF(D809="","-",+C827+1)</f>
        <v>2028</v>
      </c>
      <c r="D828" s="469">
        <f t="shared" si="49"/>
        <v>2409392.1428571413</v>
      </c>
      <c r="E828" s="511">
        <f t="shared" si="53"/>
        <v>82372.380952380947</v>
      </c>
      <c r="F828" s="469">
        <f t="shared" si="48"/>
        <v>2327019.7619047603</v>
      </c>
      <c r="G828" s="935">
        <f t="shared" si="50"/>
        <v>437523.38746713684</v>
      </c>
      <c r="H828" s="938">
        <f t="shared" si="51"/>
        <v>437523.38746713684</v>
      </c>
      <c r="I828" s="509">
        <f t="shared" si="52"/>
        <v>0</v>
      </c>
      <c r="J828" s="509"/>
      <c r="K828" s="640"/>
      <c r="L828" s="514"/>
      <c r="M828" s="640"/>
      <c r="N828" s="514"/>
      <c r="O828" s="514"/>
    </row>
    <row r="829" spans="3:15">
      <c r="C829" s="505">
        <f>IF(D809="","-",+C828+1)</f>
        <v>2029</v>
      </c>
      <c r="D829" s="469">
        <f t="shared" si="49"/>
        <v>2327019.7619047603</v>
      </c>
      <c r="E829" s="511">
        <f t="shared" si="53"/>
        <v>82372.380952380947</v>
      </c>
      <c r="F829" s="469">
        <f t="shared" si="48"/>
        <v>2244647.3809523792</v>
      </c>
      <c r="G829" s="935">
        <f t="shared" si="50"/>
        <v>425170.30897966714</v>
      </c>
      <c r="H829" s="938">
        <f t="shared" si="51"/>
        <v>425170.30897966714</v>
      </c>
      <c r="I829" s="509">
        <f t="shared" si="52"/>
        <v>0</v>
      </c>
      <c r="J829" s="509"/>
      <c r="K829" s="640"/>
      <c r="L829" s="514"/>
      <c r="M829" s="640"/>
      <c r="N829" s="514"/>
      <c r="O829" s="514"/>
    </row>
    <row r="830" spans="3:15">
      <c r="C830" s="505">
        <f>IF(D809="","-",+C829+1)</f>
        <v>2030</v>
      </c>
      <c r="D830" s="469">
        <f t="shared" si="49"/>
        <v>2244647.3809523792</v>
      </c>
      <c r="E830" s="511">
        <f t="shared" si="53"/>
        <v>82372.380952380947</v>
      </c>
      <c r="F830" s="469">
        <f t="shared" si="48"/>
        <v>2162274.9999999981</v>
      </c>
      <c r="G830" s="935">
        <f t="shared" si="50"/>
        <v>412817.23049219727</v>
      </c>
      <c r="H830" s="938">
        <f t="shared" si="51"/>
        <v>412817.23049219727</v>
      </c>
      <c r="I830" s="509">
        <f t="shared" si="52"/>
        <v>0</v>
      </c>
      <c r="J830" s="509"/>
      <c r="K830" s="640"/>
      <c r="L830" s="514"/>
      <c r="M830" s="640"/>
      <c r="N830" s="514"/>
      <c r="O830" s="514"/>
    </row>
    <row r="831" spans="3:15">
      <c r="C831" s="505">
        <f>IF(D809="","-",+C830+1)</f>
        <v>2031</v>
      </c>
      <c r="D831" s="469">
        <f t="shared" si="49"/>
        <v>2162274.9999999981</v>
      </c>
      <c r="E831" s="511">
        <f t="shared" si="53"/>
        <v>82372.380952380947</v>
      </c>
      <c r="F831" s="469">
        <f t="shared" si="48"/>
        <v>2079902.6190476171</v>
      </c>
      <c r="G831" s="935">
        <f t="shared" si="50"/>
        <v>400464.15200472751</v>
      </c>
      <c r="H831" s="938">
        <f t="shared" si="51"/>
        <v>400464.15200472751</v>
      </c>
      <c r="I831" s="509">
        <f t="shared" si="52"/>
        <v>0</v>
      </c>
      <c r="J831" s="509"/>
      <c r="K831" s="640"/>
      <c r="L831" s="514"/>
      <c r="M831" s="640"/>
      <c r="N831" s="514"/>
      <c r="O831" s="514"/>
    </row>
    <row r="832" spans="3:15">
      <c r="C832" s="505">
        <f>IF(D809="","-",+C831+1)</f>
        <v>2032</v>
      </c>
      <c r="D832" s="469">
        <f t="shared" si="49"/>
        <v>2079902.6190476171</v>
      </c>
      <c r="E832" s="511">
        <f t="shared" si="53"/>
        <v>82372.380952380947</v>
      </c>
      <c r="F832" s="469">
        <f t="shared" si="48"/>
        <v>1997530.238095236</v>
      </c>
      <c r="G832" s="935">
        <f t="shared" si="50"/>
        <v>388111.0735172577</v>
      </c>
      <c r="H832" s="938">
        <f t="shared" si="51"/>
        <v>388111.0735172577</v>
      </c>
      <c r="I832" s="509">
        <f t="shared" si="52"/>
        <v>0</v>
      </c>
      <c r="J832" s="509"/>
      <c r="K832" s="640"/>
      <c r="L832" s="514"/>
      <c r="M832" s="640"/>
      <c r="N832" s="514"/>
      <c r="O832" s="514"/>
    </row>
    <row r="833" spans="3:15">
      <c r="C833" s="505">
        <f>IF(D809="","-",+C832+1)</f>
        <v>2033</v>
      </c>
      <c r="D833" s="469">
        <f t="shared" si="49"/>
        <v>1997530.238095236</v>
      </c>
      <c r="E833" s="511">
        <f t="shared" si="53"/>
        <v>82372.380952380947</v>
      </c>
      <c r="F833" s="469">
        <f t="shared" si="48"/>
        <v>1915157.8571428549</v>
      </c>
      <c r="G833" s="935">
        <f t="shared" si="50"/>
        <v>375757.99502978788</v>
      </c>
      <c r="H833" s="938">
        <f t="shared" si="51"/>
        <v>375757.99502978788</v>
      </c>
      <c r="I833" s="509">
        <f t="shared" si="52"/>
        <v>0</v>
      </c>
      <c r="J833" s="509"/>
      <c r="K833" s="640"/>
      <c r="L833" s="514"/>
      <c r="M833" s="640"/>
      <c r="N833" s="514"/>
      <c r="O833" s="514"/>
    </row>
    <row r="834" spans="3:15">
      <c r="C834" s="505">
        <f>IF(D809="","-",+C833+1)</f>
        <v>2034</v>
      </c>
      <c r="D834" s="469">
        <f t="shared" si="49"/>
        <v>1915157.8571428549</v>
      </c>
      <c r="E834" s="511">
        <f t="shared" si="53"/>
        <v>82372.380952380947</v>
      </c>
      <c r="F834" s="469">
        <f t="shared" si="48"/>
        <v>1832785.4761904739</v>
      </c>
      <c r="G834" s="935">
        <f t="shared" si="50"/>
        <v>363404.91654231813</v>
      </c>
      <c r="H834" s="938">
        <f t="shared" si="51"/>
        <v>363404.91654231813</v>
      </c>
      <c r="I834" s="509">
        <f t="shared" si="52"/>
        <v>0</v>
      </c>
      <c r="J834" s="509"/>
      <c r="K834" s="640"/>
      <c r="L834" s="514"/>
      <c r="M834" s="640"/>
      <c r="N834" s="514"/>
      <c r="O834" s="514"/>
    </row>
    <row r="835" spans="3:15">
      <c r="C835" s="505">
        <f>IF(D809="","-",+C834+1)</f>
        <v>2035</v>
      </c>
      <c r="D835" s="469">
        <f t="shared" si="49"/>
        <v>1832785.4761904739</v>
      </c>
      <c r="E835" s="511">
        <f t="shared" si="53"/>
        <v>82372.380952380947</v>
      </c>
      <c r="F835" s="469">
        <f t="shared" si="48"/>
        <v>1750413.0952380928</v>
      </c>
      <c r="G835" s="935">
        <f t="shared" si="50"/>
        <v>351051.83805484831</v>
      </c>
      <c r="H835" s="938">
        <f t="shared" si="51"/>
        <v>351051.83805484831</v>
      </c>
      <c r="I835" s="509">
        <f t="shared" si="52"/>
        <v>0</v>
      </c>
      <c r="J835" s="509"/>
      <c r="K835" s="640"/>
      <c r="L835" s="514"/>
      <c r="M835" s="640"/>
      <c r="N835" s="514"/>
      <c r="O835" s="514"/>
    </row>
    <row r="836" spans="3:15">
      <c r="C836" s="505">
        <f>IF(D809="","-",+C835+1)</f>
        <v>2036</v>
      </c>
      <c r="D836" s="469">
        <f t="shared" si="49"/>
        <v>1750413.0952380928</v>
      </c>
      <c r="E836" s="511">
        <f t="shared" si="53"/>
        <v>82372.380952380947</v>
      </c>
      <c r="F836" s="469">
        <f t="shared" si="48"/>
        <v>1668040.7142857118</v>
      </c>
      <c r="G836" s="935">
        <f t="shared" si="50"/>
        <v>338698.75956737855</v>
      </c>
      <c r="H836" s="938">
        <f t="shared" si="51"/>
        <v>338698.75956737855</v>
      </c>
      <c r="I836" s="509">
        <f t="shared" si="52"/>
        <v>0</v>
      </c>
      <c r="J836" s="509"/>
      <c r="K836" s="640"/>
      <c r="L836" s="514"/>
      <c r="M836" s="640"/>
      <c r="N836" s="514"/>
      <c r="O836" s="514"/>
    </row>
    <row r="837" spans="3:15">
      <c r="C837" s="505">
        <f>IF(D809="","-",+C836+1)</f>
        <v>2037</v>
      </c>
      <c r="D837" s="469">
        <f t="shared" si="49"/>
        <v>1668040.7142857118</v>
      </c>
      <c r="E837" s="511">
        <f t="shared" si="53"/>
        <v>82372.380952380947</v>
      </c>
      <c r="F837" s="469">
        <f t="shared" si="48"/>
        <v>1585668.3333333307</v>
      </c>
      <c r="G837" s="935">
        <f t="shared" si="50"/>
        <v>326345.68107990874</v>
      </c>
      <c r="H837" s="938">
        <f t="shared" si="51"/>
        <v>326345.68107990874</v>
      </c>
      <c r="I837" s="509">
        <f t="shared" si="52"/>
        <v>0</v>
      </c>
      <c r="J837" s="509"/>
      <c r="K837" s="640"/>
      <c r="L837" s="514"/>
      <c r="M837" s="640"/>
      <c r="N837" s="514"/>
      <c r="O837" s="514"/>
    </row>
    <row r="838" spans="3:15">
      <c r="C838" s="505">
        <f>IF(D809="","-",+C837+1)</f>
        <v>2038</v>
      </c>
      <c r="D838" s="469">
        <f t="shared" si="49"/>
        <v>1585668.3333333307</v>
      </c>
      <c r="E838" s="511">
        <f t="shared" si="53"/>
        <v>82372.380952380947</v>
      </c>
      <c r="F838" s="469">
        <f t="shared" si="48"/>
        <v>1503295.9523809496</v>
      </c>
      <c r="G838" s="935">
        <f t="shared" si="50"/>
        <v>313992.60259243893</v>
      </c>
      <c r="H838" s="938">
        <f t="shared" si="51"/>
        <v>313992.60259243893</v>
      </c>
      <c r="I838" s="509">
        <f t="shared" si="52"/>
        <v>0</v>
      </c>
      <c r="J838" s="509"/>
      <c r="K838" s="640"/>
      <c r="L838" s="514"/>
      <c r="M838" s="640"/>
      <c r="N838" s="514"/>
      <c r="O838" s="514"/>
    </row>
    <row r="839" spans="3:15">
      <c r="C839" s="505">
        <f>IF(D809="","-",+C838+1)</f>
        <v>2039</v>
      </c>
      <c r="D839" s="469">
        <f t="shared" si="49"/>
        <v>1503295.9523809496</v>
      </c>
      <c r="E839" s="511">
        <f t="shared" si="53"/>
        <v>82372.380952380947</v>
      </c>
      <c r="F839" s="469">
        <f t="shared" si="48"/>
        <v>1420923.5714285686</v>
      </c>
      <c r="G839" s="935">
        <f t="shared" si="50"/>
        <v>301639.52410496911</v>
      </c>
      <c r="H839" s="938">
        <f t="shared" si="51"/>
        <v>301639.52410496911</v>
      </c>
      <c r="I839" s="509">
        <f t="shared" si="52"/>
        <v>0</v>
      </c>
      <c r="J839" s="509"/>
      <c r="K839" s="640"/>
      <c r="L839" s="514"/>
      <c r="M839" s="640"/>
      <c r="N839" s="514"/>
      <c r="O839" s="514"/>
    </row>
    <row r="840" spans="3:15">
      <c r="C840" s="505">
        <f>IF(D809="","-",+C839+1)</f>
        <v>2040</v>
      </c>
      <c r="D840" s="469">
        <f t="shared" si="49"/>
        <v>1420923.5714285686</v>
      </c>
      <c r="E840" s="511">
        <f t="shared" si="53"/>
        <v>82372.380952380947</v>
      </c>
      <c r="F840" s="469">
        <f t="shared" si="48"/>
        <v>1338551.1904761875</v>
      </c>
      <c r="G840" s="935">
        <f t="shared" si="50"/>
        <v>289286.4456174993</v>
      </c>
      <c r="H840" s="938">
        <f t="shared" si="51"/>
        <v>289286.4456174993</v>
      </c>
      <c r="I840" s="509">
        <f t="shared" si="52"/>
        <v>0</v>
      </c>
      <c r="J840" s="509"/>
      <c r="K840" s="640"/>
      <c r="L840" s="514"/>
      <c r="M840" s="640"/>
      <c r="N840" s="514"/>
      <c r="O840" s="514"/>
    </row>
    <row r="841" spans="3:15">
      <c r="C841" s="505">
        <f>IF(D809="","-",+C840+1)</f>
        <v>2041</v>
      </c>
      <c r="D841" s="469">
        <f t="shared" si="49"/>
        <v>1338551.1904761875</v>
      </c>
      <c r="E841" s="511">
        <f t="shared" si="53"/>
        <v>82372.380952380947</v>
      </c>
      <c r="F841" s="469">
        <f t="shared" si="48"/>
        <v>1256178.8095238064</v>
      </c>
      <c r="G841" s="935">
        <f t="shared" si="50"/>
        <v>276933.36713002954</v>
      </c>
      <c r="H841" s="938">
        <f t="shared" si="51"/>
        <v>276933.36713002954</v>
      </c>
      <c r="I841" s="509">
        <f t="shared" si="52"/>
        <v>0</v>
      </c>
      <c r="J841" s="509"/>
      <c r="K841" s="640"/>
      <c r="L841" s="514"/>
      <c r="M841" s="640"/>
      <c r="N841" s="514"/>
      <c r="O841" s="514"/>
    </row>
    <row r="842" spans="3:15">
      <c r="C842" s="505">
        <f>IF(D809="","-",+C841+1)</f>
        <v>2042</v>
      </c>
      <c r="D842" s="469">
        <f t="shared" si="49"/>
        <v>1256178.8095238064</v>
      </c>
      <c r="E842" s="511">
        <f t="shared" si="53"/>
        <v>82372.380952380947</v>
      </c>
      <c r="F842" s="469">
        <f t="shared" si="48"/>
        <v>1173806.4285714254</v>
      </c>
      <c r="G842" s="935">
        <f t="shared" si="50"/>
        <v>264580.28864255972</v>
      </c>
      <c r="H842" s="938">
        <f t="shared" si="51"/>
        <v>264580.28864255972</v>
      </c>
      <c r="I842" s="509">
        <f t="shared" si="52"/>
        <v>0</v>
      </c>
      <c r="J842" s="509"/>
      <c r="K842" s="640"/>
      <c r="L842" s="514"/>
      <c r="M842" s="640"/>
      <c r="N842" s="514"/>
      <c r="O842" s="514"/>
    </row>
    <row r="843" spans="3:15">
      <c r="C843" s="505">
        <f>IF(D809="","-",+C842+1)</f>
        <v>2043</v>
      </c>
      <c r="D843" s="469">
        <f t="shared" si="49"/>
        <v>1173806.4285714254</v>
      </c>
      <c r="E843" s="511">
        <f t="shared" si="53"/>
        <v>82372.380952380947</v>
      </c>
      <c r="F843" s="469">
        <f t="shared" si="48"/>
        <v>1091434.0476190443</v>
      </c>
      <c r="G843" s="936">
        <f t="shared" si="50"/>
        <v>252227.21015508994</v>
      </c>
      <c r="H843" s="938">
        <f t="shared" si="51"/>
        <v>252227.21015508994</v>
      </c>
      <c r="I843" s="509">
        <f t="shared" si="52"/>
        <v>0</v>
      </c>
      <c r="J843" s="509"/>
      <c r="K843" s="640"/>
      <c r="L843" s="514"/>
      <c r="M843" s="640"/>
      <c r="N843" s="514"/>
      <c r="O843" s="514"/>
    </row>
    <row r="844" spans="3:15">
      <c r="C844" s="505">
        <f>IF(D809="","-",+C843+1)</f>
        <v>2044</v>
      </c>
      <c r="D844" s="469">
        <f t="shared" si="49"/>
        <v>1091434.0476190443</v>
      </c>
      <c r="E844" s="511">
        <f t="shared" si="53"/>
        <v>82372.380952380947</v>
      </c>
      <c r="F844" s="469">
        <f t="shared" si="48"/>
        <v>1009061.6666666634</v>
      </c>
      <c r="G844" s="935">
        <f t="shared" si="50"/>
        <v>239874.13166762015</v>
      </c>
      <c r="H844" s="938">
        <f t="shared" si="51"/>
        <v>239874.13166762015</v>
      </c>
      <c r="I844" s="509">
        <f t="shared" si="52"/>
        <v>0</v>
      </c>
      <c r="J844" s="509"/>
      <c r="K844" s="640"/>
      <c r="L844" s="514"/>
      <c r="M844" s="640"/>
      <c r="N844" s="514"/>
      <c r="O844" s="514"/>
    </row>
    <row r="845" spans="3:15">
      <c r="C845" s="505">
        <f>IF(D809="","-",+C844+1)</f>
        <v>2045</v>
      </c>
      <c r="D845" s="469">
        <f t="shared" si="49"/>
        <v>1009061.6666666634</v>
      </c>
      <c r="E845" s="511">
        <f t="shared" si="53"/>
        <v>82372.380952380947</v>
      </c>
      <c r="F845" s="469">
        <f t="shared" si="48"/>
        <v>926689.28571428242</v>
      </c>
      <c r="G845" s="935">
        <f t="shared" si="50"/>
        <v>227521.05318015037</v>
      </c>
      <c r="H845" s="938">
        <f t="shared" si="51"/>
        <v>227521.05318015037</v>
      </c>
      <c r="I845" s="509">
        <f t="shared" si="52"/>
        <v>0</v>
      </c>
      <c r="J845" s="509"/>
      <c r="K845" s="640"/>
      <c r="L845" s="514"/>
      <c r="M845" s="640"/>
      <c r="N845" s="514"/>
      <c r="O845" s="514"/>
    </row>
    <row r="846" spans="3:15">
      <c r="C846" s="505">
        <f>IF(D809="","-",+C845+1)</f>
        <v>2046</v>
      </c>
      <c r="D846" s="469">
        <f t="shared" si="49"/>
        <v>926689.28571428242</v>
      </c>
      <c r="E846" s="511">
        <f t="shared" si="53"/>
        <v>82372.380952380947</v>
      </c>
      <c r="F846" s="469">
        <f t="shared" si="48"/>
        <v>844316.90476190147</v>
      </c>
      <c r="G846" s="935">
        <f t="shared" si="50"/>
        <v>215167.97469268058</v>
      </c>
      <c r="H846" s="938">
        <f t="shared" si="51"/>
        <v>215167.97469268058</v>
      </c>
      <c r="I846" s="509">
        <f t="shared" si="52"/>
        <v>0</v>
      </c>
      <c r="J846" s="509"/>
      <c r="K846" s="640"/>
      <c r="L846" s="514"/>
      <c r="M846" s="640"/>
      <c r="N846" s="514"/>
      <c r="O846" s="514"/>
    </row>
    <row r="847" spans="3:15">
      <c r="C847" s="505">
        <f>IF(D809="","-",+C846+1)</f>
        <v>2047</v>
      </c>
      <c r="D847" s="469">
        <f t="shared" si="49"/>
        <v>844316.90476190147</v>
      </c>
      <c r="E847" s="511">
        <f t="shared" si="53"/>
        <v>82372.380952380947</v>
      </c>
      <c r="F847" s="469">
        <f t="shared" si="48"/>
        <v>761944.52380952053</v>
      </c>
      <c r="G847" s="935">
        <f t="shared" si="50"/>
        <v>202814.89620521083</v>
      </c>
      <c r="H847" s="938">
        <f t="shared" si="51"/>
        <v>202814.89620521083</v>
      </c>
      <c r="I847" s="509">
        <f t="shared" si="52"/>
        <v>0</v>
      </c>
      <c r="J847" s="509"/>
      <c r="K847" s="640"/>
      <c r="L847" s="514"/>
      <c r="M847" s="640"/>
      <c r="N847" s="514"/>
      <c r="O847" s="514"/>
    </row>
    <row r="848" spans="3:15">
      <c r="C848" s="505">
        <f>IF(D809="","-",+C847+1)</f>
        <v>2048</v>
      </c>
      <c r="D848" s="469">
        <f t="shared" si="49"/>
        <v>761944.52380952053</v>
      </c>
      <c r="E848" s="511">
        <f t="shared" si="53"/>
        <v>82372.380952380947</v>
      </c>
      <c r="F848" s="469">
        <f t="shared" si="48"/>
        <v>679572.14285713958</v>
      </c>
      <c r="G848" s="935">
        <f t="shared" si="50"/>
        <v>190461.81771774101</v>
      </c>
      <c r="H848" s="938">
        <f t="shared" si="51"/>
        <v>190461.81771774101</v>
      </c>
      <c r="I848" s="509">
        <f t="shared" si="52"/>
        <v>0</v>
      </c>
      <c r="J848" s="509"/>
      <c r="K848" s="640"/>
      <c r="L848" s="514"/>
      <c r="M848" s="640"/>
      <c r="N848" s="514"/>
      <c r="O848" s="514"/>
    </row>
    <row r="849" spans="3:15">
      <c r="C849" s="505">
        <f>IF(D809="","-",+C848+1)</f>
        <v>2049</v>
      </c>
      <c r="D849" s="469">
        <f t="shared" si="49"/>
        <v>679572.14285713958</v>
      </c>
      <c r="E849" s="511">
        <f t="shared" si="53"/>
        <v>82372.380952380947</v>
      </c>
      <c r="F849" s="469">
        <f t="shared" si="48"/>
        <v>597199.76190475863</v>
      </c>
      <c r="G849" s="935">
        <f t="shared" si="50"/>
        <v>178108.73923027125</v>
      </c>
      <c r="H849" s="938">
        <f t="shared" si="51"/>
        <v>178108.73923027125</v>
      </c>
      <c r="I849" s="509">
        <f t="shared" si="52"/>
        <v>0</v>
      </c>
      <c r="J849" s="509"/>
      <c r="K849" s="640"/>
      <c r="L849" s="514"/>
      <c r="M849" s="640"/>
      <c r="N849" s="514"/>
      <c r="O849" s="514"/>
    </row>
    <row r="850" spans="3:15">
      <c r="C850" s="505">
        <f>IF(D809="","-",+C849+1)</f>
        <v>2050</v>
      </c>
      <c r="D850" s="469">
        <f t="shared" si="49"/>
        <v>597199.76190475863</v>
      </c>
      <c r="E850" s="511">
        <f t="shared" si="53"/>
        <v>82372.380952380947</v>
      </c>
      <c r="F850" s="469">
        <f t="shared" si="48"/>
        <v>514827.38095237769</v>
      </c>
      <c r="G850" s="935">
        <f t="shared" si="50"/>
        <v>165755.66074280147</v>
      </c>
      <c r="H850" s="938">
        <f t="shared" si="51"/>
        <v>165755.66074280147</v>
      </c>
      <c r="I850" s="509">
        <f t="shared" si="52"/>
        <v>0</v>
      </c>
      <c r="J850" s="509"/>
      <c r="K850" s="640"/>
      <c r="L850" s="514"/>
      <c r="M850" s="640"/>
      <c r="N850" s="514"/>
      <c r="O850" s="514"/>
    </row>
    <row r="851" spans="3:15">
      <c r="C851" s="505">
        <f>IF(D809="","-",+C850+1)</f>
        <v>2051</v>
      </c>
      <c r="D851" s="469">
        <f t="shared" si="49"/>
        <v>514827.38095237769</v>
      </c>
      <c r="E851" s="511">
        <f t="shared" si="53"/>
        <v>82372.380952380947</v>
      </c>
      <c r="F851" s="469">
        <f t="shared" si="48"/>
        <v>432454.99999999674</v>
      </c>
      <c r="G851" s="935">
        <f t="shared" si="50"/>
        <v>153402.58225533168</v>
      </c>
      <c r="H851" s="938">
        <f t="shared" si="51"/>
        <v>153402.58225533168</v>
      </c>
      <c r="I851" s="509">
        <f t="shared" si="52"/>
        <v>0</v>
      </c>
      <c r="J851" s="509"/>
      <c r="K851" s="640"/>
      <c r="L851" s="514"/>
      <c r="M851" s="640"/>
      <c r="N851" s="514"/>
      <c r="O851" s="514"/>
    </row>
    <row r="852" spans="3:15">
      <c r="C852" s="505">
        <f>IF(D809="","-",+C851+1)</f>
        <v>2052</v>
      </c>
      <c r="D852" s="469">
        <f t="shared" si="49"/>
        <v>432454.99999999674</v>
      </c>
      <c r="E852" s="511">
        <f t="shared" si="53"/>
        <v>82372.380952380947</v>
      </c>
      <c r="F852" s="469">
        <f t="shared" si="48"/>
        <v>350082.61904761579</v>
      </c>
      <c r="G852" s="935">
        <f t="shared" si="50"/>
        <v>141049.50376786193</v>
      </c>
      <c r="H852" s="938">
        <f t="shared" si="51"/>
        <v>141049.50376786193</v>
      </c>
      <c r="I852" s="509">
        <f t="shared" si="52"/>
        <v>0</v>
      </c>
      <c r="J852" s="509"/>
      <c r="K852" s="640"/>
      <c r="L852" s="514"/>
      <c r="M852" s="640"/>
      <c r="N852" s="514"/>
      <c r="O852" s="514"/>
    </row>
    <row r="853" spans="3:15">
      <c r="C853" s="505">
        <f>IF(D809="","-",+C852+1)</f>
        <v>2053</v>
      </c>
      <c r="D853" s="469">
        <f t="shared" si="49"/>
        <v>350082.61904761579</v>
      </c>
      <c r="E853" s="511">
        <f t="shared" si="53"/>
        <v>82372.380952380947</v>
      </c>
      <c r="F853" s="469">
        <f t="shared" si="48"/>
        <v>267710.23809523485</v>
      </c>
      <c r="G853" s="935">
        <f t="shared" si="50"/>
        <v>128696.42528039214</v>
      </c>
      <c r="H853" s="938">
        <f t="shared" si="51"/>
        <v>128696.42528039214</v>
      </c>
      <c r="I853" s="509">
        <f t="shared" si="52"/>
        <v>0</v>
      </c>
      <c r="J853" s="509"/>
      <c r="K853" s="640"/>
      <c r="L853" s="514"/>
      <c r="M853" s="640"/>
      <c r="N853" s="514"/>
      <c r="O853" s="514"/>
    </row>
    <row r="854" spans="3:15">
      <c r="C854" s="505">
        <f>IF(D809="","-",+C853+1)</f>
        <v>2054</v>
      </c>
      <c r="D854" s="469">
        <f t="shared" si="49"/>
        <v>267710.23809523485</v>
      </c>
      <c r="E854" s="511">
        <f t="shared" si="53"/>
        <v>82372.380952380947</v>
      </c>
      <c r="F854" s="469">
        <f t="shared" si="48"/>
        <v>185337.8571428539</v>
      </c>
      <c r="G854" s="935">
        <f t="shared" si="50"/>
        <v>116343.34679292236</v>
      </c>
      <c r="H854" s="938">
        <f t="shared" si="51"/>
        <v>116343.34679292236</v>
      </c>
      <c r="I854" s="509">
        <f t="shared" si="52"/>
        <v>0</v>
      </c>
      <c r="J854" s="509"/>
      <c r="K854" s="640"/>
      <c r="L854" s="514"/>
      <c r="M854" s="640"/>
      <c r="N854" s="514"/>
      <c r="O854" s="514"/>
    </row>
    <row r="855" spans="3:15">
      <c r="C855" s="505">
        <f>IF(D809="","-",+C854+1)</f>
        <v>2055</v>
      </c>
      <c r="D855" s="469">
        <f t="shared" si="49"/>
        <v>185337.8571428539</v>
      </c>
      <c r="E855" s="511">
        <f t="shared" si="53"/>
        <v>82372.380952380947</v>
      </c>
      <c r="F855" s="469">
        <f t="shared" si="48"/>
        <v>102965.47619047295</v>
      </c>
      <c r="G855" s="935">
        <f t="shared" si="50"/>
        <v>103990.26830545257</v>
      </c>
      <c r="H855" s="938">
        <f t="shared" si="51"/>
        <v>103990.26830545257</v>
      </c>
      <c r="I855" s="509">
        <f t="shared" si="52"/>
        <v>0</v>
      </c>
      <c r="J855" s="509"/>
      <c r="K855" s="640"/>
      <c r="L855" s="514"/>
      <c r="M855" s="640"/>
      <c r="N855" s="514"/>
      <c r="O855" s="514"/>
    </row>
    <row r="856" spans="3:15">
      <c r="C856" s="505">
        <f>IF(D809="","-",+C855+1)</f>
        <v>2056</v>
      </c>
      <c r="D856" s="469">
        <f t="shared" si="49"/>
        <v>102965.47619047295</v>
      </c>
      <c r="E856" s="511">
        <f t="shared" si="53"/>
        <v>82372.380952380947</v>
      </c>
      <c r="F856" s="469">
        <f t="shared" si="48"/>
        <v>20593.095238092006</v>
      </c>
      <c r="G856" s="935">
        <f t="shared" si="50"/>
        <v>91637.189817982799</v>
      </c>
      <c r="H856" s="938">
        <f t="shared" si="51"/>
        <v>91637.189817982799</v>
      </c>
      <c r="I856" s="509">
        <f t="shared" si="52"/>
        <v>0</v>
      </c>
      <c r="J856" s="509"/>
      <c r="K856" s="640"/>
      <c r="L856" s="514"/>
      <c r="M856" s="640"/>
      <c r="N856" s="514"/>
      <c r="O856" s="514"/>
    </row>
    <row r="857" spans="3:15">
      <c r="C857" s="505">
        <f>IF(D809="","-",+C856+1)</f>
        <v>2057</v>
      </c>
      <c r="D857" s="469">
        <f t="shared" si="49"/>
        <v>20593.095238092006</v>
      </c>
      <c r="E857" s="511">
        <f t="shared" si="53"/>
        <v>20593.095238092006</v>
      </c>
      <c r="F857" s="469">
        <f t="shared" si="48"/>
        <v>0</v>
      </c>
      <c r="G857" s="935">
        <f t="shared" si="50"/>
        <v>22137.230049025486</v>
      </c>
      <c r="H857" s="938">
        <f t="shared" si="51"/>
        <v>22137.230049025486</v>
      </c>
      <c r="I857" s="509">
        <f t="shared" si="52"/>
        <v>0</v>
      </c>
      <c r="J857" s="509"/>
      <c r="K857" s="640"/>
      <c r="L857" s="514"/>
      <c r="M857" s="640"/>
      <c r="N857" s="514"/>
      <c r="O857" s="514"/>
    </row>
    <row r="858" spans="3:15">
      <c r="C858" s="505">
        <f>IF(D809="","-",+C857+1)</f>
        <v>2058</v>
      </c>
      <c r="D858" s="469">
        <f t="shared" si="49"/>
        <v>0</v>
      </c>
      <c r="E858" s="511">
        <f t="shared" si="53"/>
        <v>0</v>
      </c>
      <c r="F858" s="469">
        <f t="shared" si="48"/>
        <v>0</v>
      </c>
      <c r="G858" s="935">
        <f t="shared" si="50"/>
        <v>0</v>
      </c>
      <c r="H858" s="938">
        <f t="shared" si="51"/>
        <v>0</v>
      </c>
      <c r="I858" s="509">
        <f t="shared" si="52"/>
        <v>0</v>
      </c>
      <c r="J858" s="509"/>
      <c r="K858" s="640"/>
      <c r="L858" s="514"/>
      <c r="M858" s="640"/>
      <c r="N858" s="514"/>
      <c r="O858" s="514"/>
    </row>
    <row r="859" spans="3:15">
      <c r="C859" s="505">
        <f>IF(D809="","-",+C858+1)</f>
        <v>2059</v>
      </c>
      <c r="D859" s="469">
        <f t="shared" si="49"/>
        <v>0</v>
      </c>
      <c r="E859" s="511">
        <f t="shared" si="53"/>
        <v>0</v>
      </c>
      <c r="F859" s="469">
        <f t="shared" si="48"/>
        <v>0</v>
      </c>
      <c r="G859" s="935">
        <f t="shared" si="50"/>
        <v>0</v>
      </c>
      <c r="H859" s="938">
        <f t="shared" si="51"/>
        <v>0</v>
      </c>
      <c r="I859" s="509">
        <f t="shared" si="52"/>
        <v>0</v>
      </c>
      <c r="J859" s="509"/>
      <c r="K859" s="640"/>
      <c r="L859" s="514"/>
      <c r="M859" s="640"/>
      <c r="N859" s="514"/>
      <c r="O859" s="514"/>
    </row>
    <row r="860" spans="3:15">
      <c r="C860" s="505">
        <f>IF(D809="","-",+C859+1)</f>
        <v>2060</v>
      </c>
      <c r="D860" s="469">
        <f t="shared" si="49"/>
        <v>0</v>
      </c>
      <c r="E860" s="511">
        <f t="shared" si="53"/>
        <v>0</v>
      </c>
      <c r="F860" s="469">
        <f t="shared" si="48"/>
        <v>0</v>
      </c>
      <c r="G860" s="935">
        <f t="shared" si="50"/>
        <v>0</v>
      </c>
      <c r="H860" s="938">
        <f t="shared" si="51"/>
        <v>0</v>
      </c>
      <c r="I860" s="509">
        <f t="shared" si="52"/>
        <v>0</v>
      </c>
      <c r="J860" s="509"/>
      <c r="K860" s="640"/>
      <c r="L860" s="514"/>
      <c r="M860" s="640"/>
      <c r="N860" s="514"/>
      <c r="O860" s="514"/>
    </row>
    <row r="861" spans="3:15">
      <c r="C861" s="505">
        <f>IF(D809="","-",+C860+1)</f>
        <v>2061</v>
      </c>
      <c r="D861" s="469">
        <f t="shared" si="49"/>
        <v>0</v>
      </c>
      <c r="E861" s="511">
        <f t="shared" si="53"/>
        <v>0</v>
      </c>
      <c r="F861" s="469">
        <f t="shared" si="48"/>
        <v>0</v>
      </c>
      <c r="G861" s="935">
        <f t="shared" si="50"/>
        <v>0</v>
      </c>
      <c r="H861" s="938">
        <f t="shared" si="51"/>
        <v>0</v>
      </c>
      <c r="I861" s="509">
        <f t="shared" si="52"/>
        <v>0</v>
      </c>
      <c r="J861" s="509"/>
      <c r="K861" s="640"/>
      <c r="L861" s="514"/>
      <c r="M861" s="640"/>
      <c r="N861" s="514"/>
      <c r="O861" s="514"/>
    </row>
    <row r="862" spans="3:15">
      <c r="C862" s="505">
        <f>IF(D809="","-",+C861+1)</f>
        <v>2062</v>
      </c>
      <c r="D862" s="469">
        <f t="shared" si="49"/>
        <v>0</v>
      </c>
      <c r="E862" s="511">
        <f t="shared" si="53"/>
        <v>0</v>
      </c>
      <c r="F862" s="469">
        <f t="shared" si="48"/>
        <v>0</v>
      </c>
      <c r="G862" s="935">
        <f t="shared" si="50"/>
        <v>0</v>
      </c>
      <c r="H862" s="938">
        <f t="shared" si="51"/>
        <v>0</v>
      </c>
      <c r="I862" s="509">
        <f t="shared" si="52"/>
        <v>0</v>
      </c>
      <c r="J862" s="509"/>
      <c r="K862" s="640"/>
      <c r="L862" s="514"/>
      <c r="M862" s="640"/>
      <c r="N862" s="514"/>
      <c r="O862" s="514"/>
    </row>
    <row r="863" spans="3:15">
      <c r="C863" s="505">
        <f>IF(D809="","-",+C862+1)</f>
        <v>2063</v>
      </c>
      <c r="D863" s="469">
        <f t="shared" si="49"/>
        <v>0</v>
      </c>
      <c r="E863" s="511">
        <f t="shared" si="53"/>
        <v>0</v>
      </c>
      <c r="F863" s="469">
        <f t="shared" si="48"/>
        <v>0</v>
      </c>
      <c r="G863" s="935">
        <f t="shared" si="50"/>
        <v>0</v>
      </c>
      <c r="H863" s="938">
        <f t="shared" si="51"/>
        <v>0</v>
      </c>
      <c r="I863" s="509">
        <f t="shared" si="52"/>
        <v>0</v>
      </c>
      <c r="J863" s="509"/>
      <c r="K863" s="640"/>
      <c r="L863" s="514"/>
      <c r="M863" s="640"/>
      <c r="N863" s="514"/>
      <c r="O863" s="514"/>
    </row>
    <row r="864" spans="3:15">
      <c r="C864" s="505">
        <f>IF(D809="","-",+C863+1)</f>
        <v>2064</v>
      </c>
      <c r="D864" s="469">
        <f t="shared" si="49"/>
        <v>0</v>
      </c>
      <c r="E864" s="511">
        <f t="shared" si="53"/>
        <v>0</v>
      </c>
      <c r="F864" s="469">
        <f t="shared" si="48"/>
        <v>0</v>
      </c>
      <c r="G864" s="935">
        <f t="shared" si="50"/>
        <v>0</v>
      </c>
      <c r="H864" s="938">
        <f t="shared" si="51"/>
        <v>0</v>
      </c>
      <c r="I864" s="509">
        <f t="shared" si="52"/>
        <v>0</v>
      </c>
      <c r="J864" s="509"/>
      <c r="K864" s="640"/>
      <c r="L864" s="514"/>
      <c r="M864" s="640"/>
      <c r="N864" s="514"/>
      <c r="O864" s="514"/>
    </row>
    <row r="865" spans="3:15">
      <c r="C865" s="505">
        <f>IF(D809="","-",+C864+1)</f>
        <v>2065</v>
      </c>
      <c r="D865" s="469">
        <f t="shared" si="49"/>
        <v>0</v>
      </c>
      <c r="E865" s="511">
        <f t="shared" si="53"/>
        <v>0</v>
      </c>
      <c r="F865" s="469">
        <f t="shared" si="48"/>
        <v>0</v>
      </c>
      <c r="G865" s="935">
        <f t="shared" si="50"/>
        <v>0</v>
      </c>
      <c r="H865" s="938">
        <f t="shared" si="51"/>
        <v>0</v>
      </c>
      <c r="I865" s="509">
        <f t="shared" si="52"/>
        <v>0</v>
      </c>
      <c r="J865" s="509"/>
      <c r="K865" s="640"/>
      <c r="L865" s="514"/>
      <c r="M865" s="640"/>
      <c r="N865" s="514"/>
      <c r="O865" s="514"/>
    </row>
    <row r="866" spans="3:15">
      <c r="C866" s="505">
        <f>IF(D809="","-",+C865+1)</f>
        <v>2066</v>
      </c>
      <c r="D866" s="469">
        <f t="shared" si="49"/>
        <v>0</v>
      </c>
      <c r="E866" s="511">
        <f t="shared" si="53"/>
        <v>0</v>
      </c>
      <c r="F866" s="469">
        <f t="shared" si="48"/>
        <v>0</v>
      </c>
      <c r="G866" s="935">
        <f t="shared" si="50"/>
        <v>0</v>
      </c>
      <c r="H866" s="938">
        <f t="shared" si="51"/>
        <v>0</v>
      </c>
      <c r="I866" s="509">
        <f t="shared" si="52"/>
        <v>0</v>
      </c>
      <c r="J866" s="509"/>
      <c r="K866" s="640"/>
      <c r="L866" s="514"/>
      <c r="M866" s="640"/>
      <c r="N866" s="514"/>
      <c r="O866" s="514"/>
    </row>
    <row r="867" spans="3:15">
      <c r="C867" s="505">
        <f>IF(D809="","-",+C866+1)</f>
        <v>2067</v>
      </c>
      <c r="D867" s="469">
        <f t="shared" si="49"/>
        <v>0</v>
      </c>
      <c r="E867" s="511">
        <f t="shared" si="53"/>
        <v>0</v>
      </c>
      <c r="F867" s="469">
        <f t="shared" si="48"/>
        <v>0</v>
      </c>
      <c r="G867" s="935">
        <f t="shared" si="50"/>
        <v>0</v>
      </c>
      <c r="H867" s="938">
        <f t="shared" si="51"/>
        <v>0</v>
      </c>
      <c r="I867" s="509">
        <f t="shared" si="52"/>
        <v>0</v>
      </c>
      <c r="J867" s="509"/>
      <c r="K867" s="640"/>
      <c r="L867" s="514"/>
      <c r="M867" s="640"/>
      <c r="N867" s="514"/>
      <c r="O867" s="514"/>
    </row>
    <row r="868" spans="3:15">
      <c r="C868" s="505">
        <f>IF(D809="","-",+C867+1)</f>
        <v>2068</v>
      </c>
      <c r="D868" s="469">
        <f t="shared" si="49"/>
        <v>0</v>
      </c>
      <c r="E868" s="511">
        <f t="shared" si="53"/>
        <v>0</v>
      </c>
      <c r="F868" s="469">
        <f t="shared" si="48"/>
        <v>0</v>
      </c>
      <c r="G868" s="935">
        <f t="shared" si="50"/>
        <v>0</v>
      </c>
      <c r="H868" s="938">
        <f t="shared" si="51"/>
        <v>0</v>
      </c>
      <c r="I868" s="509">
        <f t="shared" si="52"/>
        <v>0</v>
      </c>
      <c r="J868" s="509"/>
      <c r="K868" s="640"/>
      <c r="L868" s="514"/>
      <c r="M868" s="640"/>
      <c r="N868" s="514"/>
      <c r="O868" s="514"/>
    </row>
    <row r="869" spans="3:15">
      <c r="C869" s="505">
        <f>IF(D809="","-",+C868+1)</f>
        <v>2069</v>
      </c>
      <c r="D869" s="469">
        <f t="shared" si="49"/>
        <v>0</v>
      </c>
      <c r="E869" s="511">
        <f t="shared" si="53"/>
        <v>0</v>
      </c>
      <c r="F869" s="469">
        <f t="shared" si="48"/>
        <v>0</v>
      </c>
      <c r="G869" s="935">
        <f t="shared" si="50"/>
        <v>0</v>
      </c>
      <c r="H869" s="938">
        <f t="shared" si="51"/>
        <v>0</v>
      </c>
      <c r="I869" s="509">
        <f t="shared" si="52"/>
        <v>0</v>
      </c>
      <c r="J869" s="509"/>
      <c r="K869" s="640"/>
      <c r="L869" s="514"/>
      <c r="M869" s="640"/>
      <c r="N869" s="514"/>
      <c r="O869" s="514"/>
    </row>
    <row r="870" spans="3:15">
      <c r="C870" s="505">
        <f>IF(D809="","-",+C869+1)</f>
        <v>2070</v>
      </c>
      <c r="D870" s="469">
        <f t="shared" si="49"/>
        <v>0</v>
      </c>
      <c r="E870" s="511">
        <f t="shared" si="53"/>
        <v>0</v>
      </c>
      <c r="F870" s="469">
        <f t="shared" si="48"/>
        <v>0</v>
      </c>
      <c r="G870" s="935">
        <f t="shared" si="50"/>
        <v>0</v>
      </c>
      <c r="H870" s="938">
        <f t="shared" si="51"/>
        <v>0</v>
      </c>
      <c r="I870" s="509">
        <f t="shared" si="52"/>
        <v>0</v>
      </c>
      <c r="J870" s="509"/>
      <c r="K870" s="640"/>
      <c r="L870" s="514"/>
      <c r="M870" s="640"/>
      <c r="N870" s="514"/>
      <c r="O870" s="514"/>
    </row>
    <row r="871" spans="3:15">
      <c r="C871" s="505">
        <f>IF(D809="","-",+C870+1)</f>
        <v>2071</v>
      </c>
      <c r="D871" s="469">
        <f t="shared" si="49"/>
        <v>0</v>
      </c>
      <c r="E871" s="511">
        <f t="shared" si="53"/>
        <v>0</v>
      </c>
      <c r="F871" s="469">
        <f t="shared" si="48"/>
        <v>0</v>
      </c>
      <c r="G871" s="935">
        <f t="shared" si="50"/>
        <v>0</v>
      </c>
      <c r="H871" s="938">
        <f t="shared" si="51"/>
        <v>0</v>
      </c>
      <c r="I871" s="509">
        <f t="shared" si="52"/>
        <v>0</v>
      </c>
      <c r="J871" s="509"/>
      <c r="K871" s="640"/>
      <c r="L871" s="514"/>
      <c r="M871" s="640"/>
      <c r="N871" s="514"/>
      <c r="O871" s="514"/>
    </row>
    <row r="872" spans="3:15">
      <c r="C872" s="505">
        <f>IF(D809="","-",+C871+1)</f>
        <v>2072</v>
      </c>
      <c r="D872" s="469">
        <f t="shared" si="49"/>
        <v>0</v>
      </c>
      <c r="E872" s="511">
        <f t="shared" si="53"/>
        <v>0</v>
      </c>
      <c r="F872" s="469">
        <f t="shared" si="48"/>
        <v>0</v>
      </c>
      <c r="G872" s="935">
        <f t="shared" si="50"/>
        <v>0</v>
      </c>
      <c r="H872" s="938">
        <f t="shared" si="51"/>
        <v>0</v>
      </c>
      <c r="I872" s="509">
        <f t="shared" si="52"/>
        <v>0</v>
      </c>
      <c r="J872" s="509"/>
      <c r="K872" s="640"/>
      <c r="L872" s="514"/>
      <c r="M872" s="640"/>
      <c r="N872" s="514"/>
      <c r="O872" s="514"/>
    </row>
    <row r="873" spans="3:15">
      <c r="C873" s="505">
        <f>IF(D809="","-",+C872+1)</f>
        <v>2073</v>
      </c>
      <c r="D873" s="469">
        <f t="shared" si="49"/>
        <v>0</v>
      </c>
      <c r="E873" s="511">
        <f t="shared" si="53"/>
        <v>0</v>
      </c>
      <c r="F873" s="469">
        <f t="shared" si="48"/>
        <v>0</v>
      </c>
      <c r="G873" s="935">
        <f t="shared" si="50"/>
        <v>0</v>
      </c>
      <c r="H873" s="938">
        <f t="shared" si="51"/>
        <v>0</v>
      </c>
      <c r="I873" s="509">
        <f t="shared" si="52"/>
        <v>0</v>
      </c>
      <c r="J873" s="509"/>
      <c r="K873" s="640"/>
      <c r="L873" s="514"/>
      <c r="M873" s="640"/>
      <c r="N873" s="514"/>
      <c r="O873" s="514"/>
    </row>
    <row r="874" spans="3:15" ht="13.5" thickBot="1">
      <c r="C874" s="515">
        <f>IF(D809="","-",+C873+1)</f>
        <v>2074</v>
      </c>
      <c r="D874" s="516">
        <f t="shared" si="49"/>
        <v>0</v>
      </c>
      <c r="E874" s="517">
        <f t="shared" si="53"/>
        <v>0</v>
      </c>
      <c r="F874" s="516">
        <f t="shared" si="48"/>
        <v>0</v>
      </c>
      <c r="G874" s="946">
        <f t="shared" si="50"/>
        <v>0</v>
      </c>
      <c r="H874" s="946">
        <f t="shared" si="51"/>
        <v>0</v>
      </c>
      <c r="I874" s="519">
        <f t="shared" si="52"/>
        <v>0</v>
      </c>
      <c r="J874" s="509"/>
      <c r="K874" s="641"/>
      <c r="L874" s="521"/>
      <c r="M874" s="641"/>
      <c r="N874" s="521"/>
      <c r="O874" s="521"/>
    </row>
    <row r="875" spans="3:15">
      <c r="C875" s="469" t="s">
        <v>288</v>
      </c>
      <c r="D875" s="915"/>
      <c r="E875" s="469"/>
      <c r="F875" s="915"/>
      <c r="G875" s="915">
        <f>SUM(G815:G874)</f>
        <v>14484762.550066756</v>
      </c>
      <c r="H875" s="915">
        <f>SUM(H815:H874)</f>
        <v>14484762.550066756</v>
      </c>
      <c r="I875" s="915">
        <f>SUM(I815:I874)</f>
        <v>0</v>
      </c>
      <c r="J875" s="915"/>
      <c r="K875" s="915"/>
      <c r="L875" s="915"/>
      <c r="M875" s="915"/>
      <c r="N875" s="915"/>
      <c r="O875" s="4"/>
    </row>
    <row r="876" spans="3:15">
      <c r="D876" s="79"/>
      <c r="E876" s="4"/>
      <c r="F876" s="4"/>
      <c r="G876" s="4"/>
      <c r="H876" s="914"/>
      <c r="I876" s="914"/>
      <c r="J876" s="915"/>
      <c r="K876" s="914"/>
      <c r="L876" s="914"/>
      <c r="M876" s="914"/>
      <c r="N876" s="914"/>
      <c r="O876" s="4"/>
    </row>
    <row r="877" spans="3:15">
      <c r="C877" s="4" t="s">
        <v>595</v>
      </c>
      <c r="D877" s="79"/>
      <c r="E877" s="4"/>
      <c r="F877" s="4"/>
      <c r="G877" s="4"/>
      <c r="H877" s="914"/>
      <c r="I877" s="914"/>
      <c r="J877" s="915"/>
      <c r="K877" s="914"/>
      <c r="L877" s="914"/>
      <c r="M877" s="914"/>
      <c r="N877" s="914"/>
      <c r="O877" s="4"/>
    </row>
    <row r="878" spans="3:15">
      <c r="C878" s="4"/>
      <c r="D878" s="79"/>
      <c r="E878" s="4"/>
      <c r="F878" s="4"/>
      <c r="G878" s="4"/>
      <c r="H878" s="914"/>
      <c r="I878" s="914"/>
      <c r="J878" s="915"/>
      <c r="K878" s="914"/>
      <c r="L878" s="914"/>
      <c r="M878" s="914"/>
      <c r="N878" s="914"/>
      <c r="O878" s="4"/>
    </row>
    <row r="879" spans="3:15">
      <c r="C879" s="479" t="s">
        <v>924</v>
      </c>
      <c r="D879" s="469"/>
      <c r="E879" s="469"/>
      <c r="F879" s="469"/>
      <c r="G879" s="915"/>
      <c r="H879" s="915"/>
      <c r="I879" s="471"/>
      <c r="J879" s="471"/>
      <c r="K879" s="471"/>
      <c r="L879" s="471"/>
      <c r="M879" s="471"/>
      <c r="N879" s="471"/>
      <c r="O879" s="4"/>
    </row>
    <row r="880" spans="3:15">
      <c r="C880" s="479" t="s">
        <v>476</v>
      </c>
      <c r="D880" s="469"/>
      <c r="E880" s="469"/>
      <c r="F880" s="469"/>
      <c r="G880" s="915"/>
      <c r="H880" s="915"/>
      <c r="I880" s="471"/>
      <c r="J880" s="471"/>
      <c r="K880" s="471"/>
      <c r="L880" s="471"/>
      <c r="M880" s="471"/>
      <c r="N880" s="471"/>
      <c r="O880" s="4"/>
    </row>
    <row r="881" spans="1:16">
      <c r="C881" s="470" t="s">
        <v>289</v>
      </c>
      <c r="D881" s="469"/>
      <c r="E881" s="469"/>
      <c r="F881" s="469"/>
      <c r="G881" s="915"/>
      <c r="H881" s="915"/>
      <c r="I881" s="471"/>
      <c r="J881" s="471"/>
      <c r="K881" s="471"/>
      <c r="L881" s="471"/>
      <c r="M881" s="471"/>
      <c r="N881" s="471"/>
      <c r="O881" s="4"/>
    </row>
    <row r="882" spans="1:16">
      <c r="C882" s="470"/>
      <c r="D882" s="469"/>
      <c r="E882" s="469"/>
      <c r="F882" s="469"/>
      <c r="G882" s="915"/>
      <c r="H882" s="915"/>
      <c r="I882" s="471"/>
      <c r="J882" s="471"/>
      <c r="K882" s="471"/>
      <c r="L882" s="471"/>
      <c r="M882" s="471"/>
      <c r="N882" s="471"/>
      <c r="O882" s="4"/>
    </row>
    <row r="883" spans="1:16">
      <c r="C883" s="1275" t="s">
        <v>460</v>
      </c>
      <c r="D883" s="1275"/>
      <c r="E883" s="1275"/>
      <c r="F883" s="1275"/>
      <c r="G883" s="1275"/>
      <c r="H883" s="1275"/>
      <c r="I883" s="1275"/>
      <c r="J883" s="1275"/>
      <c r="K883" s="1275"/>
      <c r="L883" s="1275"/>
      <c r="M883" s="1275"/>
      <c r="N883" s="1275"/>
      <c r="O883" s="1275"/>
    </row>
    <row r="884" spans="1:16">
      <c r="C884" s="1275"/>
      <c r="D884" s="1275"/>
      <c r="E884" s="1275"/>
      <c r="F884" s="1275"/>
      <c r="G884" s="1275"/>
      <c r="H884" s="1275"/>
      <c r="I884" s="1275"/>
      <c r="J884" s="1275"/>
      <c r="K884" s="1275"/>
      <c r="L884" s="1275"/>
      <c r="M884" s="1275"/>
      <c r="N884" s="1275"/>
      <c r="O884" s="1275"/>
    </row>
    <row r="885" spans="1:16" ht="20.25">
      <c r="A885" s="411" t="s">
        <v>921</v>
      </c>
      <c r="B885" s="4"/>
      <c r="C885" s="4"/>
      <c r="D885" s="79"/>
      <c r="E885" s="4"/>
      <c r="F885" s="81"/>
      <c r="G885" s="4"/>
      <c r="H885" s="914"/>
      <c r="K885" s="11"/>
      <c r="L885" s="11"/>
      <c r="M885" s="11"/>
      <c r="N885" s="11" t="str">
        <f>"Page "&amp;SUM(P$6:P885)&amp;" of "</f>
        <v xml:space="preserve">Page 10 of </v>
      </c>
      <c r="O885" s="412">
        <f>COUNT(P$6:P$59579)</f>
        <v>22</v>
      </c>
      <c r="P885" s="4">
        <v>1</v>
      </c>
    </row>
    <row r="886" spans="1:16">
      <c r="B886" s="4"/>
      <c r="C886" s="4"/>
      <c r="D886" s="79"/>
      <c r="E886" s="4"/>
      <c r="F886" s="4"/>
      <c r="G886" s="4"/>
      <c r="H886" s="914"/>
      <c r="I886" s="4"/>
      <c r="J886" s="4"/>
      <c r="K886" s="4"/>
      <c r="L886" s="4"/>
      <c r="M886" s="4"/>
      <c r="N886" s="4"/>
      <c r="O886" s="4"/>
    </row>
    <row r="887" spans="1:16" ht="18">
      <c r="B887" s="413" t="s">
        <v>174</v>
      </c>
      <c r="C887" s="472" t="s">
        <v>290</v>
      </c>
      <c r="D887" s="79"/>
      <c r="E887" s="4"/>
      <c r="F887" s="4"/>
      <c r="G887" s="4"/>
      <c r="H887" s="914"/>
      <c r="I887" s="914"/>
      <c r="J887" s="915"/>
      <c r="K887" s="914"/>
      <c r="L887" s="914"/>
      <c r="M887" s="914"/>
      <c r="N887" s="914"/>
      <c r="O887" s="4"/>
    </row>
    <row r="888" spans="1:16" ht="18.75">
      <c r="B888" s="413"/>
      <c r="C888" s="13"/>
      <c r="D888" s="79"/>
      <c r="E888" s="4"/>
      <c r="F888" s="4"/>
      <c r="G888" s="4"/>
      <c r="H888" s="914"/>
      <c r="I888" s="914"/>
      <c r="J888" s="915"/>
      <c r="K888" s="914"/>
      <c r="L888" s="914"/>
      <c r="M888" s="914"/>
      <c r="N888" s="914"/>
      <c r="O888" s="4"/>
    </row>
    <row r="889" spans="1:16" ht="18.75">
      <c r="B889" s="413"/>
      <c r="C889" s="13" t="s">
        <v>291</v>
      </c>
      <c r="D889" s="79"/>
      <c r="E889" s="4"/>
      <c r="F889" s="4"/>
      <c r="G889" s="4"/>
      <c r="H889" s="914"/>
      <c r="I889" s="914"/>
      <c r="J889" s="915"/>
      <c r="K889" s="914"/>
      <c r="L889" s="914"/>
      <c r="M889" s="914"/>
      <c r="N889" s="914"/>
      <c r="O889" s="4"/>
    </row>
    <row r="890" spans="1:16" ht="15.75" thickBot="1">
      <c r="C890" s="247"/>
      <c r="D890" s="79"/>
      <c r="E890" s="4"/>
      <c r="F890" s="4"/>
      <c r="G890" s="4"/>
      <c r="H890" s="914"/>
      <c r="I890" s="914"/>
      <c r="J890" s="915"/>
      <c r="K890" s="914"/>
      <c r="L890" s="914"/>
      <c r="M890" s="914"/>
      <c r="N890" s="914"/>
      <c r="O890" s="4"/>
    </row>
    <row r="891" spans="1:16" ht="15.75">
      <c r="C891" s="414" t="s">
        <v>292</v>
      </c>
      <c r="D891" s="79"/>
      <c r="E891" s="4"/>
      <c r="F891" s="4"/>
      <c r="G891" s="948"/>
      <c r="H891" s="4" t="s">
        <v>271</v>
      </c>
      <c r="I891" s="4"/>
      <c r="J891" s="4"/>
      <c r="K891" s="473" t="s">
        <v>296</v>
      </c>
      <c r="L891" s="474"/>
      <c r="M891" s="475"/>
      <c r="N891" s="917">
        <f>VLOOKUP(I897,C904:O963,5)</f>
        <v>649227.50068756111</v>
      </c>
      <c r="O891" s="4"/>
    </row>
    <row r="892" spans="1:16" ht="15.75">
      <c r="C892" s="414"/>
      <c r="D892" s="79"/>
      <c r="E892" s="4"/>
      <c r="F892" s="4"/>
      <c r="G892" s="4"/>
      <c r="H892" s="918"/>
      <c r="I892" s="918"/>
      <c r="J892" s="919"/>
      <c r="K892" s="478" t="s">
        <v>297</v>
      </c>
      <c r="L892" s="920"/>
      <c r="M892" s="4"/>
      <c r="N892" s="921">
        <f>VLOOKUP(I897,C904:O963,6)</f>
        <v>649227.50068756111</v>
      </c>
      <c r="O892" s="4"/>
    </row>
    <row r="893" spans="1:16" ht="13.5" thickBot="1">
      <c r="C893" s="479" t="s">
        <v>293</v>
      </c>
      <c r="D893" s="1276" t="s">
        <v>933</v>
      </c>
      <c r="E893" s="1276"/>
      <c r="F893" s="1276"/>
      <c r="G893" s="1276"/>
      <c r="H893" s="1276"/>
      <c r="I893" s="1276"/>
      <c r="J893" s="915"/>
      <c r="K893" s="922" t="s">
        <v>450</v>
      </c>
      <c r="L893" s="923"/>
      <c r="M893" s="923"/>
      <c r="N893" s="924">
        <f>+N892-N891</f>
        <v>0</v>
      </c>
      <c r="O893" s="4"/>
    </row>
    <row r="894" spans="1:16">
      <c r="C894" s="481"/>
      <c r="D894" s="482"/>
      <c r="E894" s="469"/>
      <c r="F894" s="469"/>
      <c r="G894" s="483"/>
      <c r="H894" s="914"/>
      <c r="I894" s="914"/>
      <c r="J894" s="915"/>
      <c r="K894" s="914"/>
      <c r="L894" s="914"/>
      <c r="M894" s="914"/>
      <c r="N894" s="914"/>
      <c r="O894" s="4"/>
    </row>
    <row r="895" spans="1:16" ht="13.5" thickBot="1">
      <c r="C895" s="481"/>
      <c r="D895" s="925"/>
      <c r="E895" s="483"/>
      <c r="F895" s="483"/>
      <c r="G895" s="483"/>
      <c r="H895" s="483"/>
      <c r="I895" s="483"/>
      <c r="J895" s="483"/>
      <c r="K895" s="483"/>
      <c r="L895" s="483"/>
      <c r="M895" s="483"/>
      <c r="N895" s="483"/>
      <c r="O895" s="4"/>
    </row>
    <row r="896" spans="1:16" ht="13.5" thickBot="1">
      <c r="C896" s="484" t="s">
        <v>294</v>
      </c>
      <c r="D896" s="485"/>
      <c r="E896" s="485"/>
      <c r="F896" s="485"/>
      <c r="G896" s="485"/>
      <c r="H896" s="485"/>
      <c r="I896" s="486"/>
      <c r="K896" s="4"/>
      <c r="L896" s="4"/>
      <c r="M896" s="4"/>
      <c r="N896" s="4"/>
      <c r="O896" s="4"/>
    </row>
    <row r="897" spans="1:15" ht="15">
      <c r="C897" s="487" t="s">
        <v>272</v>
      </c>
      <c r="D897" s="926">
        <v>4140077</v>
      </c>
      <c r="E897" s="4" t="s">
        <v>273</v>
      </c>
      <c r="G897" s="79"/>
      <c r="H897" s="79"/>
      <c r="I897" s="488">
        <v>2018</v>
      </c>
      <c r="J897" s="135"/>
      <c r="K897" s="1277" t="s">
        <v>459</v>
      </c>
      <c r="L897" s="1277"/>
      <c r="M897" s="1277"/>
      <c r="N897" s="1277"/>
      <c r="O897" s="1277"/>
    </row>
    <row r="898" spans="1:15">
      <c r="C898" s="487" t="s">
        <v>275</v>
      </c>
      <c r="D898" s="636">
        <v>2013</v>
      </c>
      <c r="E898" s="487" t="s">
        <v>276</v>
      </c>
      <c r="F898" s="79"/>
      <c r="H898"/>
      <c r="I898" s="927">
        <f>IF(G891="",0,$F$15)</f>
        <v>0</v>
      </c>
      <c r="J898" s="489"/>
      <c r="K898" s="915" t="s">
        <v>459</v>
      </c>
    </row>
    <row r="899" spans="1:15">
      <c r="C899" s="487" t="s">
        <v>277</v>
      </c>
      <c r="D899" s="926">
        <v>9</v>
      </c>
      <c r="E899" s="487" t="s">
        <v>278</v>
      </c>
      <c r="F899" s="79"/>
      <c r="H899"/>
      <c r="I899" s="490">
        <f>$G$70</f>
        <v>0.14996626714737105</v>
      </c>
      <c r="J899" s="81"/>
      <c r="K899" t="str">
        <f>"          INPUT PROJECTED ARR (WITH &amp; WITHOUT INCENTIVES) FROM EACH PRIOR YEAR"</f>
        <v xml:space="preserve">          INPUT PROJECTED ARR (WITH &amp; WITHOUT INCENTIVES) FROM EACH PRIOR YEAR</v>
      </c>
    </row>
    <row r="900" spans="1:15">
      <c r="C900" s="487" t="s">
        <v>279</v>
      </c>
      <c r="D900" s="491">
        <f>G$79</f>
        <v>42</v>
      </c>
      <c r="E900" s="487" t="s">
        <v>280</v>
      </c>
      <c r="F900" s="79"/>
      <c r="H900"/>
      <c r="I900" s="490">
        <f>IF(G891="",I899,$G$67)</f>
        <v>0.14996626714737105</v>
      </c>
      <c r="J900" s="81"/>
      <c r="K900" t="s">
        <v>357</v>
      </c>
    </row>
    <row r="901" spans="1:15" ht="13.5" thickBot="1">
      <c r="C901" s="487" t="s">
        <v>281</v>
      </c>
      <c r="D901" s="637" t="s">
        <v>923</v>
      </c>
      <c r="E901" s="492" t="s">
        <v>282</v>
      </c>
      <c r="F901" s="493"/>
      <c r="G901" s="494"/>
      <c r="H901" s="494"/>
      <c r="I901" s="924">
        <f>IF(D897=0,0,D897/D900)</f>
        <v>98573.261904761908</v>
      </c>
      <c r="J901" s="915"/>
      <c r="K901" s="915" t="s">
        <v>363</v>
      </c>
      <c r="L901" s="915"/>
      <c r="M901" s="915"/>
      <c r="N901" s="915"/>
      <c r="O901" s="4"/>
    </row>
    <row r="902" spans="1:15" ht="51">
      <c r="A902" s="12"/>
      <c r="B902" s="12"/>
      <c r="C902" s="495" t="s">
        <v>272</v>
      </c>
      <c r="D902" s="928" t="s">
        <v>283</v>
      </c>
      <c r="E902" s="929" t="s">
        <v>284</v>
      </c>
      <c r="F902" s="928" t="s">
        <v>285</v>
      </c>
      <c r="G902" s="929" t="s">
        <v>356</v>
      </c>
      <c r="H902" s="930" t="s">
        <v>356</v>
      </c>
      <c r="I902" s="495" t="s">
        <v>295</v>
      </c>
      <c r="J902" s="499"/>
      <c r="K902" s="929" t="s">
        <v>365</v>
      </c>
      <c r="L902" s="931"/>
      <c r="M902" s="929" t="s">
        <v>365</v>
      </c>
      <c r="N902" s="931"/>
      <c r="O902" s="931"/>
    </row>
    <row r="903" spans="1:15" ht="13.5" thickBot="1">
      <c r="C903" s="500" t="s">
        <v>177</v>
      </c>
      <c r="D903" s="501" t="s">
        <v>178</v>
      </c>
      <c r="E903" s="500" t="s">
        <v>37</v>
      </c>
      <c r="F903" s="501" t="s">
        <v>178</v>
      </c>
      <c r="G903" s="932" t="s">
        <v>298</v>
      </c>
      <c r="H903" s="933" t="s">
        <v>300</v>
      </c>
      <c r="I903" s="500" t="s">
        <v>389</v>
      </c>
      <c r="J903" s="504"/>
      <c r="K903" s="932" t="s">
        <v>287</v>
      </c>
      <c r="L903" s="934"/>
      <c r="M903" s="932" t="s">
        <v>300</v>
      </c>
      <c r="N903" s="934"/>
      <c r="O903" s="934"/>
    </row>
    <row r="904" spans="1:15">
      <c r="C904" s="505">
        <f>IF(D898= "","-",D898)</f>
        <v>2013</v>
      </c>
      <c r="D904" s="469">
        <f>+D897</f>
        <v>4140077</v>
      </c>
      <c r="E904" s="935">
        <f>+I901/12*(12-D899)</f>
        <v>24643.315476190481</v>
      </c>
      <c r="F904" s="469">
        <f t="shared" ref="F904:F963" si="54">+D904-E904</f>
        <v>4115433.6845238097</v>
      </c>
      <c r="G904" s="936">
        <f>+$I$899*((D904+F904)/2)+E904</f>
        <v>643667.37585282733</v>
      </c>
      <c r="H904" s="937">
        <f>$I$900*((D904+F904)/2)+E904</f>
        <v>643667.37585282733</v>
      </c>
      <c r="I904" s="509">
        <f>+H904-G904</f>
        <v>0</v>
      </c>
      <c r="J904" s="509"/>
      <c r="K904" s="639">
        <v>9.9999999999999995E-7</v>
      </c>
      <c r="L904" s="510"/>
      <c r="M904" s="639">
        <v>9.9999999999999995E-7</v>
      </c>
      <c r="N904" s="510"/>
      <c r="O904" s="510"/>
    </row>
    <row r="905" spans="1:15">
      <c r="C905" s="505">
        <f>IF(D898="","-",+C904+1)</f>
        <v>2014</v>
      </c>
      <c r="D905" s="469">
        <f t="shared" ref="D905:D963" si="55">F904</f>
        <v>4115433.6845238097</v>
      </c>
      <c r="E905" s="511">
        <f>IF(D905&gt;$I$901,$I$901,D905)</f>
        <v>98573.261904761908</v>
      </c>
      <c r="F905" s="469">
        <f t="shared" si="54"/>
        <v>4016860.4226190476</v>
      </c>
      <c r="G905" s="935">
        <f t="shared" ref="G905:G963" si="56">+$I$899*((D905+F905)/2)+E905</f>
        <v>708358.15720115043</v>
      </c>
      <c r="H905" s="938">
        <f t="shared" ref="H905:H963" si="57">$I$900*((D905+F905)/2)+E905</f>
        <v>708358.15720115043</v>
      </c>
      <c r="I905" s="509">
        <f t="shared" ref="I905:I963" si="58">+H905-G905</f>
        <v>0</v>
      </c>
      <c r="J905" s="509"/>
      <c r="K905" s="640">
        <v>95797</v>
      </c>
      <c r="L905" s="514"/>
      <c r="M905" s="640">
        <v>95797</v>
      </c>
      <c r="N905" s="514"/>
      <c r="O905" s="514"/>
    </row>
    <row r="906" spans="1:15">
      <c r="C906" s="505">
        <f>IF(D898="","-",+C905+1)</f>
        <v>2015</v>
      </c>
      <c r="D906" s="469">
        <f t="shared" si="55"/>
        <v>4016860.4226190476</v>
      </c>
      <c r="E906" s="511">
        <f t="shared" ref="E906:E963" si="59">IF(D906&gt;$I$901,$I$901,D906)</f>
        <v>98573.261904761908</v>
      </c>
      <c r="F906" s="469">
        <f t="shared" si="54"/>
        <v>3918287.1607142854</v>
      </c>
      <c r="G906" s="935">
        <f t="shared" si="56"/>
        <v>693575.49307275307</v>
      </c>
      <c r="H906" s="938">
        <f t="shared" si="57"/>
        <v>693575.49307275307</v>
      </c>
      <c r="I906" s="509">
        <f t="shared" si="58"/>
        <v>0</v>
      </c>
      <c r="J906" s="509"/>
      <c r="K906" s="640">
        <v>660744</v>
      </c>
      <c r="L906" s="514"/>
      <c r="M906" s="640">
        <v>660744</v>
      </c>
      <c r="N906" s="514"/>
      <c r="O906" s="514"/>
    </row>
    <row r="907" spans="1:15">
      <c r="C907" s="505">
        <f>IF(D898="","-",+C906+1)</f>
        <v>2016</v>
      </c>
      <c r="D907" s="469">
        <f t="shared" si="55"/>
        <v>3918287.1607142854</v>
      </c>
      <c r="E907" s="511">
        <f t="shared" si="59"/>
        <v>98573.261904761908</v>
      </c>
      <c r="F907" s="469">
        <f t="shared" si="54"/>
        <v>3819713.8988095233</v>
      </c>
      <c r="G907" s="935">
        <f t="shared" si="56"/>
        <v>678792.82894435572</v>
      </c>
      <c r="H907" s="938">
        <f t="shared" si="57"/>
        <v>678792.82894435572</v>
      </c>
      <c r="I907" s="509">
        <f t="shared" si="58"/>
        <v>0</v>
      </c>
      <c r="J907" s="509"/>
      <c r="K907" s="640">
        <v>821901</v>
      </c>
      <c r="L907" s="514"/>
      <c r="M907" s="640">
        <v>821901</v>
      </c>
      <c r="N907" s="514"/>
      <c r="O907" s="514"/>
    </row>
    <row r="908" spans="1:15">
      <c r="C908" s="505">
        <f>IF(D898="","-",+C907+1)</f>
        <v>2017</v>
      </c>
      <c r="D908" s="469">
        <f t="shared" si="55"/>
        <v>3819713.8988095233</v>
      </c>
      <c r="E908" s="511">
        <f t="shared" si="59"/>
        <v>98573.261904761908</v>
      </c>
      <c r="F908" s="469">
        <f t="shared" si="54"/>
        <v>3721140.6369047612</v>
      </c>
      <c r="G908" s="935">
        <f t="shared" si="56"/>
        <v>664010.16481595847</v>
      </c>
      <c r="H908" s="938">
        <f t="shared" si="57"/>
        <v>664010.16481595847</v>
      </c>
      <c r="I908" s="509">
        <f t="shared" si="58"/>
        <v>0</v>
      </c>
      <c r="J908" s="509"/>
      <c r="K908" s="640">
        <v>828442</v>
      </c>
      <c r="L908" s="514"/>
      <c r="M908" s="640">
        <v>828442</v>
      </c>
      <c r="N908" s="514"/>
      <c r="O908" s="514"/>
    </row>
    <row r="909" spans="1:15">
      <c r="C909" s="940">
        <f>IF(D898="","-",+C908+1)</f>
        <v>2018</v>
      </c>
      <c r="D909" s="941">
        <f t="shared" si="55"/>
        <v>3721140.6369047612</v>
      </c>
      <c r="E909" s="942">
        <f t="shared" si="59"/>
        <v>98573.261904761908</v>
      </c>
      <c r="F909" s="941">
        <f t="shared" si="54"/>
        <v>3622567.3749999991</v>
      </c>
      <c r="G909" s="943">
        <f t="shared" si="56"/>
        <v>649227.50068756111</v>
      </c>
      <c r="H909" s="944">
        <f t="shared" si="57"/>
        <v>649227.50068756111</v>
      </c>
      <c r="I909" s="945">
        <f t="shared" si="58"/>
        <v>0</v>
      </c>
      <c r="J909" s="509"/>
      <c r="K909" s="640"/>
      <c r="L909" s="514"/>
      <c r="M909" s="640"/>
      <c r="N909" s="514"/>
      <c r="O909" s="514"/>
    </row>
    <row r="910" spans="1:15">
      <c r="C910" s="505">
        <f>IF(D898="","-",+C909+1)</f>
        <v>2019</v>
      </c>
      <c r="D910" s="469">
        <f t="shared" si="55"/>
        <v>3622567.3749999991</v>
      </c>
      <c r="E910" s="511">
        <f t="shared" si="59"/>
        <v>98573.261904761908</v>
      </c>
      <c r="F910" s="469">
        <f t="shared" si="54"/>
        <v>3523994.1130952369</v>
      </c>
      <c r="G910" s="935">
        <f t="shared" si="56"/>
        <v>634444.83655916376</v>
      </c>
      <c r="H910" s="938">
        <f t="shared" si="57"/>
        <v>634444.83655916376</v>
      </c>
      <c r="I910" s="509">
        <f t="shared" si="58"/>
        <v>0</v>
      </c>
      <c r="J910" s="509"/>
      <c r="K910" s="640"/>
      <c r="L910" s="514"/>
      <c r="M910" s="640"/>
      <c r="N910" s="514"/>
      <c r="O910" s="514"/>
    </row>
    <row r="911" spans="1:15">
      <c r="C911" s="505">
        <f>IF(D898="","-",+C910+1)</f>
        <v>2020</v>
      </c>
      <c r="D911" s="469">
        <f t="shared" si="55"/>
        <v>3523994.1130952369</v>
      </c>
      <c r="E911" s="511">
        <f t="shared" si="59"/>
        <v>98573.261904761908</v>
      </c>
      <c r="F911" s="469">
        <f t="shared" si="54"/>
        <v>3425420.8511904748</v>
      </c>
      <c r="G911" s="935">
        <f t="shared" si="56"/>
        <v>619662.17243076651</v>
      </c>
      <c r="H911" s="938">
        <f t="shared" si="57"/>
        <v>619662.17243076651</v>
      </c>
      <c r="I911" s="509">
        <f t="shared" si="58"/>
        <v>0</v>
      </c>
      <c r="J911" s="509"/>
      <c r="K911" s="640"/>
      <c r="L911" s="514"/>
      <c r="M911" s="640"/>
      <c r="N911" s="514"/>
      <c r="O911" s="514"/>
    </row>
    <row r="912" spans="1:15">
      <c r="C912" s="505">
        <f>IF(D898="","-",+C911+1)</f>
        <v>2021</v>
      </c>
      <c r="D912" s="469">
        <f t="shared" si="55"/>
        <v>3425420.8511904748</v>
      </c>
      <c r="E912" s="511">
        <f t="shared" si="59"/>
        <v>98573.261904761908</v>
      </c>
      <c r="F912" s="469">
        <f t="shared" si="54"/>
        <v>3326847.5892857127</v>
      </c>
      <c r="G912" s="935">
        <f t="shared" si="56"/>
        <v>604879.50830236915</v>
      </c>
      <c r="H912" s="938">
        <f t="shared" si="57"/>
        <v>604879.50830236915</v>
      </c>
      <c r="I912" s="509">
        <f t="shared" si="58"/>
        <v>0</v>
      </c>
      <c r="J912" s="509"/>
      <c r="K912" s="640"/>
      <c r="L912" s="514"/>
      <c r="M912" s="640"/>
      <c r="N912" s="514"/>
      <c r="O912" s="514"/>
    </row>
    <row r="913" spans="3:15">
      <c r="C913" s="505">
        <f>IF(D898="","-",+C912+1)</f>
        <v>2022</v>
      </c>
      <c r="D913" s="469">
        <f t="shared" si="55"/>
        <v>3326847.5892857127</v>
      </c>
      <c r="E913" s="511">
        <f t="shared" si="59"/>
        <v>98573.261904761908</v>
      </c>
      <c r="F913" s="469">
        <f t="shared" si="54"/>
        <v>3228274.3273809506</v>
      </c>
      <c r="G913" s="935">
        <f t="shared" si="56"/>
        <v>590096.8441739718</v>
      </c>
      <c r="H913" s="938">
        <f t="shared" si="57"/>
        <v>590096.8441739718</v>
      </c>
      <c r="I913" s="509">
        <f t="shared" si="58"/>
        <v>0</v>
      </c>
      <c r="J913" s="509"/>
      <c r="K913" s="640"/>
      <c r="L913" s="514"/>
      <c r="M913" s="640"/>
      <c r="N913" s="514"/>
      <c r="O913" s="514"/>
    </row>
    <row r="914" spans="3:15">
      <c r="C914" s="505">
        <f>IF(D898="","-",+C913+1)</f>
        <v>2023</v>
      </c>
      <c r="D914" s="469">
        <f t="shared" si="55"/>
        <v>3228274.3273809506</v>
      </c>
      <c r="E914" s="511">
        <f t="shared" si="59"/>
        <v>98573.261904761908</v>
      </c>
      <c r="F914" s="469">
        <f t="shared" si="54"/>
        <v>3129701.0654761884</v>
      </c>
      <c r="G914" s="935">
        <f t="shared" si="56"/>
        <v>575314.18004557444</v>
      </c>
      <c r="H914" s="938">
        <f t="shared" si="57"/>
        <v>575314.18004557444</v>
      </c>
      <c r="I914" s="509">
        <f t="shared" si="58"/>
        <v>0</v>
      </c>
      <c r="J914" s="509"/>
      <c r="K914" s="640"/>
      <c r="L914" s="514"/>
      <c r="M914" s="640"/>
      <c r="N914" s="514"/>
      <c r="O914" s="514"/>
    </row>
    <row r="915" spans="3:15">
      <c r="C915" s="505">
        <f>IF(D898="","-",+C914+1)</f>
        <v>2024</v>
      </c>
      <c r="D915" s="469">
        <f t="shared" si="55"/>
        <v>3129701.0654761884</v>
      </c>
      <c r="E915" s="511">
        <f t="shared" si="59"/>
        <v>98573.261904761908</v>
      </c>
      <c r="F915" s="469">
        <f t="shared" si="54"/>
        <v>3031127.8035714263</v>
      </c>
      <c r="G915" s="935">
        <f t="shared" si="56"/>
        <v>560531.51591717708</v>
      </c>
      <c r="H915" s="938">
        <f t="shared" si="57"/>
        <v>560531.51591717708</v>
      </c>
      <c r="I915" s="509">
        <f t="shared" si="58"/>
        <v>0</v>
      </c>
      <c r="J915" s="509"/>
      <c r="K915" s="640"/>
      <c r="L915" s="514"/>
      <c r="M915" s="640"/>
      <c r="N915" s="514"/>
      <c r="O915" s="514"/>
    </row>
    <row r="916" spans="3:15">
      <c r="C916" s="505">
        <f>IF(D898="","-",+C915+1)</f>
        <v>2025</v>
      </c>
      <c r="D916" s="469">
        <f t="shared" si="55"/>
        <v>3031127.8035714263</v>
      </c>
      <c r="E916" s="511">
        <f t="shared" si="59"/>
        <v>98573.261904761908</v>
      </c>
      <c r="F916" s="469">
        <f t="shared" si="54"/>
        <v>2932554.5416666642</v>
      </c>
      <c r="G916" s="935">
        <f t="shared" si="56"/>
        <v>545748.85178877984</v>
      </c>
      <c r="H916" s="938">
        <f t="shared" si="57"/>
        <v>545748.85178877984</v>
      </c>
      <c r="I916" s="509">
        <f t="shared" si="58"/>
        <v>0</v>
      </c>
      <c r="J916" s="509"/>
      <c r="K916" s="640"/>
      <c r="L916" s="514"/>
      <c r="M916" s="640"/>
      <c r="N916" s="514"/>
      <c r="O916" s="514"/>
    </row>
    <row r="917" spans="3:15">
      <c r="C917" s="505">
        <f>IF(D898="","-",+C916+1)</f>
        <v>2026</v>
      </c>
      <c r="D917" s="469">
        <f t="shared" si="55"/>
        <v>2932554.5416666642</v>
      </c>
      <c r="E917" s="511">
        <f t="shared" si="59"/>
        <v>98573.261904761908</v>
      </c>
      <c r="F917" s="469">
        <f t="shared" si="54"/>
        <v>2833981.2797619021</v>
      </c>
      <c r="G917" s="935">
        <f t="shared" si="56"/>
        <v>530966.18766038248</v>
      </c>
      <c r="H917" s="938">
        <f t="shared" si="57"/>
        <v>530966.18766038248</v>
      </c>
      <c r="I917" s="509">
        <f t="shared" si="58"/>
        <v>0</v>
      </c>
      <c r="J917" s="509"/>
      <c r="K917" s="640"/>
      <c r="L917" s="514"/>
      <c r="M917" s="640"/>
      <c r="N917" s="514"/>
      <c r="O917" s="514"/>
    </row>
    <row r="918" spans="3:15">
      <c r="C918" s="505">
        <f>IF(D898="","-",+C917+1)</f>
        <v>2027</v>
      </c>
      <c r="D918" s="469">
        <f t="shared" si="55"/>
        <v>2833981.2797619021</v>
      </c>
      <c r="E918" s="511">
        <f t="shared" si="59"/>
        <v>98573.261904761908</v>
      </c>
      <c r="F918" s="469">
        <f t="shared" si="54"/>
        <v>2735408.0178571399</v>
      </c>
      <c r="G918" s="935">
        <f t="shared" si="56"/>
        <v>516183.52353198512</v>
      </c>
      <c r="H918" s="938">
        <f t="shared" si="57"/>
        <v>516183.52353198512</v>
      </c>
      <c r="I918" s="509">
        <f t="shared" si="58"/>
        <v>0</v>
      </c>
      <c r="J918" s="509"/>
      <c r="K918" s="640"/>
      <c r="L918" s="514"/>
      <c r="M918" s="640"/>
      <c r="N918" s="514"/>
      <c r="O918" s="514"/>
    </row>
    <row r="919" spans="3:15">
      <c r="C919" s="505">
        <f>IF(D898="","-",+C918+1)</f>
        <v>2028</v>
      </c>
      <c r="D919" s="469">
        <f t="shared" si="55"/>
        <v>2735408.0178571399</v>
      </c>
      <c r="E919" s="511">
        <f t="shared" si="59"/>
        <v>98573.261904761908</v>
      </c>
      <c r="F919" s="469">
        <f t="shared" si="54"/>
        <v>2636834.7559523778</v>
      </c>
      <c r="G919" s="935">
        <f t="shared" si="56"/>
        <v>501400.85940358776</v>
      </c>
      <c r="H919" s="938">
        <f t="shared" si="57"/>
        <v>501400.85940358776</v>
      </c>
      <c r="I919" s="509">
        <f t="shared" si="58"/>
        <v>0</v>
      </c>
      <c r="J919" s="509"/>
      <c r="K919" s="640"/>
      <c r="L919" s="514"/>
      <c r="M919" s="640"/>
      <c r="N919" s="514"/>
      <c r="O919" s="514"/>
    </row>
    <row r="920" spans="3:15">
      <c r="C920" s="505">
        <f>IF(D898="","-",+C919+1)</f>
        <v>2029</v>
      </c>
      <c r="D920" s="469">
        <f t="shared" si="55"/>
        <v>2636834.7559523778</v>
      </c>
      <c r="E920" s="511">
        <f t="shared" si="59"/>
        <v>98573.261904761908</v>
      </c>
      <c r="F920" s="469">
        <f t="shared" si="54"/>
        <v>2538261.4940476157</v>
      </c>
      <c r="G920" s="935">
        <f t="shared" si="56"/>
        <v>486618.19527519046</v>
      </c>
      <c r="H920" s="938">
        <f t="shared" si="57"/>
        <v>486618.19527519046</v>
      </c>
      <c r="I920" s="509">
        <f t="shared" si="58"/>
        <v>0</v>
      </c>
      <c r="J920" s="509"/>
      <c r="K920" s="640"/>
      <c r="L920" s="514"/>
      <c r="M920" s="640"/>
      <c r="N920" s="514"/>
      <c r="O920" s="514"/>
    </row>
    <row r="921" spans="3:15">
      <c r="C921" s="505">
        <f>IF(D898="","-",+C920+1)</f>
        <v>2030</v>
      </c>
      <c r="D921" s="469">
        <f t="shared" si="55"/>
        <v>2538261.4940476157</v>
      </c>
      <c r="E921" s="511">
        <f t="shared" si="59"/>
        <v>98573.261904761908</v>
      </c>
      <c r="F921" s="469">
        <f t="shared" si="54"/>
        <v>2439688.2321428536</v>
      </c>
      <c r="G921" s="935">
        <f t="shared" si="56"/>
        <v>471835.5311467931</v>
      </c>
      <c r="H921" s="938">
        <f t="shared" si="57"/>
        <v>471835.5311467931</v>
      </c>
      <c r="I921" s="509">
        <f t="shared" si="58"/>
        <v>0</v>
      </c>
      <c r="J921" s="509"/>
      <c r="K921" s="640"/>
      <c r="L921" s="514"/>
      <c r="M921" s="640"/>
      <c r="N921" s="514"/>
      <c r="O921" s="514"/>
    </row>
    <row r="922" spans="3:15">
      <c r="C922" s="505">
        <f>IF(D898="","-",+C921+1)</f>
        <v>2031</v>
      </c>
      <c r="D922" s="469">
        <f t="shared" si="55"/>
        <v>2439688.2321428536</v>
      </c>
      <c r="E922" s="511">
        <f t="shared" si="59"/>
        <v>98573.261904761908</v>
      </c>
      <c r="F922" s="469">
        <f t="shared" si="54"/>
        <v>2341114.9702380914</v>
      </c>
      <c r="G922" s="935">
        <f t="shared" si="56"/>
        <v>457052.8670183958</v>
      </c>
      <c r="H922" s="938">
        <f t="shared" si="57"/>
        <v>457052.8670183958</v>
      </c>
      <c r="I922" s="509">
        <f t="shared" si="58"/>
        <v>0</v>
      </c>
      <c r="J922" s="509"/>
      <c r="K922" s="640"/>
      <c r="L922" s="514"/>
      <c r="M922" s="640"/>
      <c r="N922" s="514"/>
      <c r="O922" s="514"/>
    </row>
    <row r="923" spans="3:15">
      <c r="C923" s="505">
        <f>IF(D898="","-",+C922+1)</f>
        <v>2032</v>
      </c>
      <c r="D923" s="469">
        <f t="shared" si="55"/>
        <v>2341114.9702380914</v>
      </c>
      <c r="E923" s="511">
        <f t="shared" si="59"/>
        <v>98573.261904761908</v>
      </c>
      <c r="F923" s="469">
        <f t="shared" si="54"/>
        <v>2242541.7083333293</v>
      </c>
      <c r="G923" s="935">
        <f t="shared" si="56"/>
        <v>442270.20288999844</v>
      </c>
      <c r="H923" s="938">
        <f t="shared" si="57"/>
        <v>442270.20288999844</v>
      </c>
      <c r="I923" s="509">
        <f t="shared" si="58"/>
        <v>0</v>
      </c>
      <c r="J923" s="509"/>
      <c r="K923" s="640"/>
      <c r="L923" s="514"/>
      <c r="M923" s="640"/>
      <c r="N923" s="514"/>
      <c r="O923" s="514"/>
    </row>
    <row r="924" spans="3:15">
      <c r="C924" s="505">
        <f>IF(D898="","-",+C923+1)</f>
        <v>2033</v>
      </c>
      <c r="D924" s="469">
        <f t="shared" si="55"/>
        <v>2242541.7083333293</v>
      </c>
      <c r="E924" s="511">
        <f t="shared" si="59"/>
        <v>98573.261904761908</v>
      </c>
      <c r="F924" s="469">
        <f t="shared" si="54"/>
        <v>2143968.4464285672</v>
      </c>
      <c r="G924" s="935">
        <f t="shared" si="56"/>
        <v>427487.53876160114</v>
      </c>
      <c r="H924" s="938">
        <f t="shared" si="57"/>
        <v>427487.53876160114</v>
      </c>
      <c r="I924" s="509">
        <f t="shared" si="58"/>
        <v>0</v>
      </c>
      <c r="J924" s="509"/>
      <c r="K924" s="640"/>
      <c r="L924" s="514"/>
      <c r="M924" s="640"/>
      <c r="N924" s="514"/>
      <c r="O924" s="514"/>
    </row>
    <row r="925" spans="3:15">
      <c r="C925" s="505">
        <f>IF(D898="","-",+C924+1)</f>
        <v>2034</v>
      </c>
      <c r="D925" s="469">
        <f t="shared" si="55"/>
        <v>2143968.4464285672</v>
      </c>
      <c r="E925" s="511">
        <f t="shared" si="59"/>
        <v>98573.261904761908</v>
      </c>
      <c r="F925" s="469">
        <f t="shared" si="54"/>
        <v>2045395.1845238053</v>
      </c>
      <c r="G925" s="935">
        <f t="shared" si="56"/>
        <v>412704.87463320378</v>
      </c>
      <c r="H925" s="938">
        <f t="shared" si="57"/>
        <v>412704.87463320378</v>
      </c>
      <c r="I925" s="509">
        <f t="shared" si="58"/>
        <v>0</v>
      </c>
      <c r="J925" s="509"/>
      <c r="K925" s="640"/>
      <c r="L925" s="514"/>
      <c r="M925" s="640"/>
      <c r="N925" s="514"/>
      <c r="O925" s="514"/>
    </row>
    <row r="926" spans="3:15">
      <c r="C926" s="505">
        <f>IF(D898="","-",+C925+1)</f>
        <v>2035</v>
      </c>
      <c r="D926" s="469">
        <f t="shared" si="55"/>
        <v>2045395.1845238053</v>
      </c>
      <c r="E926" s="511">
        <f t="shared" si="59"/>
        <v>98573.261904761908</v>
      </c>
      <c r="F926" s="469">
        <f t="shared" si="54"/>
        <v>1946821.9226190434</v>
      </c>
      <c r="G926" s="935">
        <f t="shared" si="56"/>
        <v>397922.21050480654</v>
      </c>
      <c r="H926" s="938">
        <f t="shared" si="57"/>
        <v>397922.21050480654</v>
      </c>
      <c r="I926" s="509">
        <f t="shared" si="58"/>
        <v>0</v>
      </c>
      <c r="J926" s="509"/>
      <c r="K926" s="640"/>
      <c r="L926" s="514"/>
      <c r="M926" s="640"/>
      <c r="N926" s="514"/>
      <c r="O926" s="514"/>
    </row>
    <row r="927" spans="3:15">
      <c r="C927" s="505">
        <f>IF(D898="","-",+C926+1)</f>
        <v>2036</v>
      </c>
      <c r="D927" s="469">
        <f t="shared" si="55"/>
        <v>1946821.9226190434</v>
      </c>
      <c r="E927" s="511">
        <f t="shared" si="59"/>
        <v>98573.261904761908</v>
      </c>
      <c r="F927" s="469">
        <f t="shared" si="54"/>
        <v>1848248.6607142815</v>
      </c>
      <c r="G927" s="935">
        <f t="shared" si="56"/>
        <v>383139.54637640918</v>
      </c>
      <c r="H927" s="938">
        <f t="shared" si="57"/>
        <v>383139.54637640918</v>
      </c>
      <c r="I927" s="509">
        <f t="shared" si="58"/>
        <v>0</v>
      </c>
      <c r="J927" s="509"/>
      <c r="K927" s="640"/>
      <c r="L927" s="514"/>
      <c r="M927" s="640"/>
      <c r="N927" s="514"/>
      <c r="O927" s="514"/>
    </row>
    <row r="928" spans="3:15">
      <c r="C928" s="505">
        <f>IF(D898="","-",+C927+1)</f>
        <v>2037</v>
      </c>
      <c r="D928" s="469">
        <f t="shared" si="55"/>
        <v>1848248.6607142815</v>
      </c>
      <c r="E928" s="511">
        <f t="shared" si="59"/>
        <v>98573.261904761908</v>
      </c>
      <c r="F928" s="469">
        <f t="shared" si="54"/>
        <v>1749675.3988095196</v>
      </c>
      <c r="G928" s="935">
        <f t="shared" si="56"/>
        <v>368356.88224801194</v>
      </c>
      <c r="H928" s="938">
        <f t="shared" si="57"/>
        <v>368356.88224801194</v>
      </c>
      <c r="I928" s="509">
        <f t="shared" si="58"/>
        <v>0</v>
      </c>
      <c r="J928" s="509"/>
      <c r="K928" s="640"/>
      <c r="L928" s="514"/>
      <c r="M928" s="640"/>
      <c r="N928" s="514"/>
      <c r="O928" s="514"/>
    </row>
    <row r="929" spans="3:15">
      <c r="C929" s="505">
        <f>IF(D898="","-",+C928+1)</f>
        <v>2038</v>
      </c>
      <c r="D929" s="469">
        <f t="shared" si="55"/>
        <v>1749675.3988095196</v>
      </c>
      <c r="E929" s="511">
        <f t="shared" si="59"/>
        <v>98573.261904761908</v>
      </c>
      <c r="F929" s="469">
        <f t="shared" si="54"/>
        <v>1651102.1369047577</v>
      </c>
      <c r="G929" s="935">
        <f t="shared" si="56"/>
        <v>353574.21811961464</v>
      </c>
      <c r="H929" s="938">
        <f t="shared" si="57"/>
        <v>353574.21811961464</v>
      </c>
      <c r="I929" s="509">
        <f t="shared" si="58"/>
        <v>0</v>
      </c>
      <c r="J929" s="509"/>
      <c r="K929" s="640"/>
      <c r="L929" s="514"/>
      <c r="M929" s="640"/>
      <c r="N929" s="514"/>
      <c r="O929" s="514"/>
    </row>
    <row r="930" spans="3:15">
      <c r="C930" s="505">
        <f>IF(D898="","-",+C929+1)</f>
        <v>2039</v>
      </c>
      <c r="D930" s="469">
        <f t="shared" si="55"/>
        <v>1651102.1369047577</v>
      </c>
      <c r="E930" s="511">
        <f t="shared" si="59"/>
        <v>98573.261904761908</v>
      </c>
      <c r="F930" s="469">
        <f t="shared" si="54"/>
        <v>1552528.8749999958</v>
      </c>
      <c r="G930" s="935">
        <f t="shared" si="56"/>
        <v>338791.5539912174</v>
      </c>
      <c r="H930" s="938">
        <f t="shared" si="57"/>
        <v>338791.5539912174</v>
      </c>
      <c r="I930" s="509">
        <f t="shared" si="58"/>
        <v>0</v>
      </c>
      <c r="J930" s="509"/>
      <c r="K930" s="640"/>
      <c r="L930" s="514"/>
      <c r="M930" s="640"/>
      <c r="N930" s="514"/>
      <c r="O930" s="514"/>
    </row>
    <row r="931" spans="3:15">
      <c r="C931" s="505">
        <f>IF(D898="","-",+C930+1)</f>
        <v>2040</v>
      </c>
      <c r="D931" s="469">
        <f t="shared" si="55"/>
        <v>1552528.8749999958</v>
      </c>
      <c r="E931" s="511">
        <f t="shared" si="59"/>
        <v>98573.261904761908</v>
      </c>
      <c r="F931" s="469">
        <f t="shared" si="54"/>
        <v>1453955.6130952339</v>
      </c>
      <c r="G931" s="935">
        <f t="shared" si="56"/>
        <v>324008.88986282004</v>
      </c>
      <c r="H931" s="938">
        <f t="shared" si="57"/>
        <v>324008.88986282004</v>
      </c>
      <c r="I931" s="509">
        <f t="shared" si="58"/>
        <v>0</v>
      </c>
      <c r="J931" s="509"/>
      <c r="K931" s="640"/>
      <c r="L931" s="514"/>
      <c r="M931" s="640"/>
      <c r="N931" s="514"/>
      <c r="O931" s="514"/>
    </row>
    <row r="932" spans="3:15">
      <c r="C932" s="505">
        <f>IF(D898="","-",+C931+1)</f>
        <v>2041</v>
      </c>
      <c r="D932" s="469">
        <f t="shared" si="55"/>
        <v>1453955.6130952339</v>
      </c>
      <c r="E932" s="511">
        <f t="shared" si="59"/>
        <v>98573.261904761908</v>
      </c>
      <c r="F932" s="469">
        <f t="shared" si="54"/>
        <v>1355382.351190472</v>
      </c>
      <c r="G932" s="936">
        <f t="shared" si="56"/>
        <v>309226.2257344228</v>
      </c>
      <c r="H932" s="938">
        <f t="shared" si="57"/>
        <v>309226.2257344228</v>
      </c>
      <c r="I932" s="509">
        <f t="shared" si="58"/>
        <v>0</v>
      </c>
      <c r="J932" s="509"/>
      <c r="K932" s="640"/>
      <c r="L932" s="514"/>
      <c r="M932" s="640"/>
      <c r="N932" s="514"/>
      <c r="O932" s="514"/>
    </row>
    <row r="933" spans="3:15">
      <c r="C933" s="505">
        <f>IF(D898="","-",+C932+1)</f>
        <v>2042</v>
      </c>
      <c r="D933" s="469">
        <f t="shared" si="55"/>
        <v>1355382.351190472</v>
      </c>
      <c r="E933" s="511">
        <f t="shared" si="59"/>
        <v>98573.261904761908</v>
      </c>
      <c r="F933" s="469">
        <f t="shared" si="54"/>
        <v>1256809.0892857101</v>
      </c>
      <c r="G933" s="935">
        <f t="shared" si="56"/>
        <v>294443.56160602544</v>
      </c>
      <c r="H933" s="938">
        <f t="shared" si="57"/>
        <v>294443.56160602544</v>
      </c>
      <c r="I933" s="509">
        <f t="shared" si="58"/>
        <v>0</v>
      </c>
      <c r="J933" s="509"/>
      <c r="K933" s="640"/>
      <c r="L933" s="514"/>
      <c r="M933" s="640"/>
      <c r="N933" s="514"/>
      <c r="O933" s="514"/>
    </row>
    <row r="934" spans="3:15">
      <c r="C934" s="505">
        <f>IF(D898="","-",+C933+1)</f>
        <v>2043</v>
      </c>
      <c r="D934" s="469">
        <f t="shared" si="55"/>
        <v>1256809.0892857101</v>
      </c>
      <c r="E934" s="511">
        <f t="shared" si="59"/>
        <v>98573.261904761908</v>
      </c>
      <c r="F934" s="469">
        <f t="shared" si="54"/>
        <v>1158235.8273809482</v>
      </c>
      <c r="G934" s="935">
        <f t="shared" si="56"/>
        <v>279660.8974776282</v>
      </c>
      <c r="H934" s="938">
        <f t="shared" si="57"/>
        <v>279660.8974776282</v>
      </c>
      <c r="I934" s="509">
        <f t="shared" si="58"/>
        <v>0</v>
      </c>
      <c r="J934" s="509"/>
      <c r="K934" s="640"/>
      <c r="L934" s="514"/>
      <c r="M934" s="640"/>
      <c r="N934" s="514"/>
      <c r="O934" s="514"/>
    </row>
    <row r="935" spans="3:15">
      <c r="C935" s="505">
        <f>IF(D898="","-",+C934+1)</f>
        <v>2044</v>
      </c>
      <c r="D935" s="469">
        <f t="shared" si="55"/>
        <v>1158235.8273809482</v>
      </c>
      <c r="E935" s="511">
        <f t="shared" si="59"/>
        <v>98573.261904761908</v>
      </c>
      <c r="F935" s="469">
        <f t="shared" si="54"/>
        <v>1059662.5654761863</v>
      </c>
      <c r="G935" s="935">
        <f t="shared" si="56"/>
        <v>264878.23334923084</v>
      </c>
      <c r="H935" s="938">
        <f t="shared" si="57"/>
        <v>264878.23334923084</v>
      </c>
      <c r="I935" s="509">
        <f t="shared" si="58"/>
        <v>0</v>
      </c>
      <c r="J935" s="509"/>
      <c r="K935" s="640"/>
      <c r="L935" s="514"/>
      <c r="M935" s="640"/>
      <c r="N935" s="514"/>
      <c r="O935" s="514"/>
    </row>
    <row r="936" spans="3:15">
      <c r="C936" s="505">
        <f>IF(D898="","-",+C935+1)</f>
        <v>2045</v>
      </c>
      <c r="D936" s="469">
        <f t="shared" si="55"/>
        <v>1059662.5654761863</v>
      </c>
      <c r="E936" s="511">
        <f t="shared" si="59"/>
        <v>98573.261904761908</v>
      </c>
      <c r="F936" s="469">
        <f t="shared" si="54"/>
        <v>961089.30357142445</v>
      </c>
      <c r="G936" s="935">
        <f t="shared" si="56"/>
        <v>250095.5692208336</v>
      </c>
      <c r="H936" s="938">
        <f t="shared" si="57"/>
        <v>250095.5692208336</v>
      </c>
      <c r="I936" s="509">
        <f t="shared" si="58"/>
        <v>0</v>
      </c>
      <c r="J936" s="509"/>
      <c r="K936" s="640"/>
      <c r="L936" s="514"/>
      <c r="M936" s="640"/>
      <c r="N936" s="514"/>
      <c r="O936" s="514"/>
    </row>
    <row r="937" spans="3:15">
      <c r="C937" s="505">
        <f>IF(D898="","-",+C936+1)</f>
        <v>2046</v>
      </c>
      <c r="D937" s="469">
        <f t="shared" si="55"/>
        <v>961089.30357142445</v>
      </c>
      <c r="E937" s="511">
        <f t="shared" si="59"/>
        <v>98573.261904761908</v>
      </c>
      <c r="F937" s="469">
        <f t="shared" si="54"/>
        <v>862516.04166666255</v>
      </c>
      <c r="G937" s="935">
        <f t="shared" si="56"/>
        <v>235312.9050924363</v>
      </c>
      <c r="H937" s="938">
        <f t="shared" si="57"/>
        <v>235312.9050924363</v>
      </c>
      <c r="I937" s="509">
        <f t="shared" si="58"/>
        <v>0</v>
      </c>
      <c r="J937" s="509"/>
      <c r="K937" s="640"/>
      <c r="L937" s="514"/>
      <c r="M937" s="640"/>
      <c r="N937" s="514"/>
      <c r="O937" s="514"/>
    </row>
    <row r="938" spans="3:15">
      <c r="C938" s="505">
        <f>IF(D898="","-",+C937+1)</f>
        <v>2047</v>
      </c>
      <c r="D938" s="469">
        <f t="shared" si="55"/>
        <v>862516.04166666255</v>
      </c>
      <c r="E938" s="511">
        <f t="shared" si="59"/>
        <v>98573.261904761908</v>
      </c>
      <c r="F938" s="469">
        <f t="shared" si="54"/>
        <v>763942.77976190066</v>
      </c>
      <c r="G938" s="935">
        <f t="shared" si="56"/>
        <v>220530.240964039</v>
      </c>
      <c r="H938" s="938">
        <f t="shared" si="57"/>
        <v>220530.240964039</v>
      </c>
      <c r="I938" s="509">
        <f t="shared" si="58"/>
        <v>0</v>
      </c>
      <c r="J938" s="509"/>
      <c r="K938" s="640"/>
      <c r="L938" s="514"/>
      <c r="M938" s="640"/>
      <c r="N938" s="514"/>
      <c r="O938" s="514"/>
    </row>
    <row r="939" spans="3:15">
      <c r="C939" s="505">
        <f>IF(D898="","-",+C938+1)</f>
        <v>2048</v>
      </c>
      <c r="D939" s="469">
        <f t="shared" si="55"/>
        <v>763942.77976190066</v>
      </c>
      <c r="E939" s="511">
        <f t="shared" si="59"/>
        <v>98573.261904761908</v>
      </c>
      <c r="F939" s="469">
        <f t="shared" si="54"/>
        <v>665369.51785713877</v>
      </c>
      <c r="G939" s="935">
        <f t="shared" si="56"/>
        <v>205747.5768356417</v>
      </c>
      <c r="H939" s="938">
        <f t="shared" si="57"/>
        <v>205747.5768356417</v>
      </c>
      <c r="I939" s="509">
        <f t="shared" si="58"/>
        <v>0</v>
      </c>
      <c r="J939" s="509"/>
      <c r="K939" s="640"/>
      <c r="L939" s="514"/>
      <c r="M939" s="640"/>
      <c r="N939" s="514"/>
      <c r="O939" s="514"/>
    </row>
    <row r="940" spans="3:15">
      <c r="C940" s="505">
        <f>IF(D898="","-",+C939+1)</f>
        <v>2049</v>
      </c>
      <c r="D940" s="469">
        <f t="shared" si="55"/>
        <v>665369.51785713877</v>
      </c>
      <c r="E940" s="511">
        <f t="shared" si="59"/>
        <v>98573.261904761908</v>
      </c>
      <c r="F940" s="469">
        <f t="shared" si="54"/>
        <v>566796.25595237687</v>
      </c>
      <c r="G940" s="935">
        <f t="shared" si="56"/>
        <v>190964.9127072444</v>
      </c>
      <c r="H940" s="938">
        <f t="shared" si="57"/>
        <v>190964.9127072444</v>
      </c>
      <c r="I940" s="509">
        <f t="shared" si="58"/>
        <v>0</v>
      </c>
      <c r="J940" s="509"/>
      <c r="K940" s="640"/>
      <c r="L940" s="514"/>
      <c r="M940" s="640"/>
      <c r="N940" s="514"/>
      <c r="O940" s="514"/>
    </row>
    <row r="941" spans="3:15">
      <c r="C941" s="505">
        <f>IF(D898="","-",+C940+1)</f>
        <v>2050</v>
      </c>
      <c r="D941" s="469">
        <f t="shared" si="55"/>
        <v>566796.25595237687</v>
      </c>
      <c r="E941" s="511">
        <f t="shared" si="59"/>
        <v>98573.261904761908</v>
      </c>
      <c r="F941" s="469">
        <f t="shared" si="54"/>
        <v>468222.99404761498</v>
      </c>
      <c r="G941" s="935">
        <f t="shared" si="56"/>
        <v>176182.24857884709</v>
      </c>
      <c r="H941" s="938">
        <f t="shared" si="57"/>
        <v>176182.24857884709</v>
      </c>
      <c r="I941" s="509">
        <f t="shared" si="58"/>
        <v>0</v>
      </c>
      <c r="J941" s="509"/>
      <c r="K941" s="640"/>
      <c r="L941" s="514"/>
      <c r="M941" s="640"/>
      <c r="N941" s="514"/>
      <c r="O941" s="514"/>
    </row>
    <row r="942" spans="3:15">
      <c r="C942" s="505">
        <f>IF(D898="","-",+C941+1)</f>
        <v>2051</v>
      </c>
      <c r="D942" s="469">
        <f t="shared" si="55"/>
        <v>468222.99404761498</v>
      </c>
      <c r="E942" s="511">
        <f t="shared" si="59"/>
        <v>98573.261904761908</v>
      </c>
      <c r="F942" s="469">
        <f t="shared" si="54"/>
        <v>369649.73214285308</v>
      </c>
      <c r="G942" s="935">
        <f t="shared" si="56"/>
        <v>161399.58445044979</v>
      </c>
      <c r="H942" s="938">
        <f t="shared" si="57"/>
        <v>161399.58445044979</v>
      </c>
      <c r="I942" s="509">
        <f t="shared" si="58"/>
        <v>0</v>
      </c>
      <c r="J942" s="509"/>
      <c r="K942" s="640"/>
      <c r="L942" s="514"/>
      <c r="M942" s="640"/>
      <c r="N942" s="514"/>
      <c r="O942" s="514"/>
    </row>
    <row r="943" spans="3:15">
      <c r="C943" s="505">
        <f>IF(D898="","-",+C942+1)</f>
        <v>2052</v>
      </c>
      <c r="D943" s="469">
        <f t="shared" si="55"/>
        <v>369649.73214285308</v>
      </c>
      <c r="E943" s="511">
        <f t="shared" si="59"/>
        <v>98573.261904761908</v>
      </c>
      <c r="F943" s="469">
        <f t="shared" si="54"/>
        <v>271076.47023809119</v>
      </c>
      <c r="G943" s="935">
        <f t="shared" si="56"/>
        <v>146616.92032205252</v>
      </c>
      <c r="H943" s="938">
        <f t="shared" si="57"/>
        <v>146616.92032205252</v>
      </c>
      <c r="I943" s="509">
        <f t="shared" si="58"/>
        <v>0</v>
      </c>
      <c r="J943" s="509"/>
      <c r="K943" s="640"/>
      <c r="L943" s="514"/>
      <c r="M943" s="640"/>
      <c r="N943" s="514"/>
      <c r="O943" s="514"/>
    </row>
    <row r="944" spans="3:15">
      <c r="C944" s="505">
        <f>IF(D898="","-",+C943+1)</f>
        <v>2053</v>
      </c>
      <c r="D944" s="469">
        <f t="shared" si="55"/>
        <v>271076.47023809119</v>
      </c>
      <c r="E944" s="511">
        <f t="shared" si="59"/>
        <v>98573.261904761908</v>
      </c>
      <c r="F944" s="469">
        <f t="shared" si="54"/>
        <v>172503.2083333293</v>
      </c>
      <c r="G944" s="935">
        <f t="shared" si="56"/>
        <v>131834.25619365522</v>
      </c>
      <c r="H944" s="938">
        <f t="shared" si="57"/>
        <v>131834.25619365522</v>
      </c>
      <c r="I944" s="509">
        <f t="shared" si="58"/>
        <v>0</v>
      </c>
      <c r="J944" s="509"/>
      <c r="K944" s="640"/>
      <c r="L944" s="514"/>
      <c r="M944" s="640"/>
      <c r="N944" s="514"/>
      <c r="O944" s="514"/>
    </row>
    <row r="945" spans="3:15">
      <c r="C945" s="505">
        <f>IF(D898="","-",+C944+1)</f>
        <v>2054</v>
      </c>
      <c r="D945" s="469">
        <f t="shared" si="55"/>
        <v>172503.2083333293</v>
      </c>
      <c r="E945" s="511">
        <f t="shared" si="59"/>
        <v>98573.261904761908</v>
      </c>
      <c r="F945" s="469">
        <f t="shared" si="54"/>
        <v>73929.946428567389</v>
      </c>
      <c r="G945" s="935">
        <f t="shared" si="56"/>
        <v>117051.59206525792</v>
      </c>
      <c r="H945" s="938">
        <f t="shared" si="57"/>
        <v>117051.59206525792</v>
      </c>
      <c r="I945" s="509">
        <f t="shared" si="58"/>
        <v>0</v>
      </c>
      <c r="J945" s="509"/>
      <c r="K945" s="640"/>
      <c r="L945" s="514"/>
      <c r="M945" s="640"/>
      <c r="N945" s="514"/>
      <c r="O945" s="514"/>
    </row>
    <row r="946" spans="3:15">
      <c r="C946" s="505">
        <f>IF(D898="","-",+C945+1)</f>
        <v>2055</v>
      </c>
      <c r="D946" s="469">
        <f t="shared" si="55"/>
        <v>73929.946428567389</v>
      </c>
      <c r="E946" s="511">
        <f t="shared" si="59"/>
        <v>73929.946428567389</v>
      </c>
      <c r="F946" s="469">
        <f t="shared" si="54"/>
        <v>0</v>
      </c>
      <c r="G946" s="935">
        <f t="shared" si="56"/>
        <v>79473.445476716079</v>
      </c>
      <c r="H946" s="938">
        <f t="shared" si="57"/>
        <v>79473.445476716079</v>
      </c>
      <c r="I946" s="509">
        <f t="shared" si="58"/>
        <v>0</v>
      </c>
      <c r="J946" s="509"/>
      <c r="K946" s="640"/>
      <c r="L946" s="514"/>
      <c r="M946" s="640"/>
      <c r="N946" s="514"/>
      <c r="O946" s="514"/>
    </row>
    <row r="947" spans="3:15">
      <c r="C947" s="505">
        <f>IF(D898="","-",+C946+1)</f>
        <v>2056</v>
      </c>
      <c r="D947" s="469">
        <f t="shared" si="55"/>
        <v>0</v>
      </c>
      <c r="E947" s="511">
        <f t="shared" si="59"/>
        <v>0</v>
      </c>
      <c r="F947" s="469">
        <f t="shared" si="54"/>
        <v>0</v>
      </c>
      <c r="G947" s="935">
        <f t="shared" si="56"/>
        <v>0</v>
      </c>
      <c r="H947" s="938">
        <f t="shared" si="57"/>
        <v>0</v>
      </c>
      <c r="I947" s="509">
        <f t="shared" si="58"/>
        <v>0</v>
      </c>
      <c r="J947" s="509"/>
      <c r="K947" s="640"/>
      <c r="L947" s="514"/>
      <c r="M947" s="640"/>
      <c r="N947" s="514"/>
      <c r="O947" s="514"/>
    </row>
    <row r="948" spans="3:15">
      <c r="C948" s="505">
        <f>IF(D898="","-",+C947+1)</f>
        <v>2057</v>
      </c>
      <c r="D948" s="469">
        <f t="shared" si="55"/>
        <v>0</v>
      </c>
      <c r="E948" s="511">
        <f t="shared" si="59"/>
        <v>0</v>
      </c>
      <c r="F948" s="469">
        <f t="shared" si="54"/>
        <v>0</v>
      </c>
      <c r="G948" s="935">
        <f t="shared" si="56"/>
        <v>0</v>
      </c>
      <c r="H948" s="938">
        <f t="shared" si="57"/>
        <v>0</v>
      </c>
      <c r="I948" s="509">
        <f t="shared" si="58"/>
        <v>0</v>
      </c>
      <c r="J948" s="509"/>
      <c r="K948" s="640"/>
      <c r="L948" s="514"/>
      <c r="M948" s="640"/>
      <c r="N948" s="514"/>
      <c r="O948" s="514"/>
    </row>
    <row r="949" spans="3:15">
      <c r="C949" s="505">
        <f>IF(D898="","-",+C948+1)</f>
        <v>2058</v>
      </c>
      <c r="D949" s="469">
        <f t="shared" si="55"/>
        <v>0</v>
      </c>
      <c r="E949" s="511">
        <f t="shared" si="59"/>
        <v>0</v>
      </c>
      <c r="F949" s="469">
        <f t="shared" si="54"/>
        <v>0</v>
      </c>
      <c r="G949" s="935">
        <f t="shared" si="56"/>
        <v>0</v>
      </c>
      <c r="H949" s="938">
        <f t="shared" si="57"/>
        <v>0</v>
      </c>
      <c r="I949" s="509">
        <f t="shared" si="58"/>
        <v>0</v>
      </c>
      <c r="J949" s="509"/>
      <c r="K949" s="640"/>
      <c r="L949" s="514"/>
      <c r="M949" s="640"/>
      <c r="N949" s="514"/>
      <c r="O949" s="514"/>
    </row>
    <row r="950" spans="3:15">
      <c r="C950" s="505">
        <f>IF(D898="","-",+C949+1)</f>
        <v>2059</v>
      </c>
      <c r="D950" s="469">
        <f t="shared" si="55"/>
        <v>0</v>
      </c>
      <c r="E950" s="511">
        <f t="shared" si="59"/>
        <v>0</v>
      </c>
      <c r="F950" s="469">
        <f t="shared" si="54"/>
        <v>0</v>
      </c>
      <c r="G950" s="935">
        <f t="shared" si="56"/>
        <v>0</v>
      </c>
      <c r="H950" s="938">
        <f t="shared" si="57"/>
        <v>0</v>
      </c>
      <c r="I950" s="509">
        <f t="shared" si="58"/>
        <v>0</v>
      </c>
      <c r="J950" s="509"/>
      <c r="K950" s="640"/>
      <c r="L950" s="514"/>
      <c r="M950" s="640"/>
      <c r="N950" s="514"/>
      <c r="O950" s="514"/>
    </row>
    <row r="951" spans="3:15">
      <c r="C951" s="505">
        <f>IF(D898="","-",+C950+1)</f>
        <v>2060</v>
      </c>
      <c r="D951" s="469">
        <f t="shared" si="55"/>
        <v>0</v>
      </c>
      <c r="E951" s="511">
        <f t="shared" si="59"/>
        <v>0</v>
      </c>
      <c r="F951" s="469">
        <f t="shared" si="54"/>
        <v>0</v>
      </c>
      <c r="G951" s="935">
        <f t="shared" si="56"/>
        <v>0</v>
      </c>
      <c r="H951" s="938">
        <f t="shared" si="57"/>
        <v>0</v>
      </c>
      <c r="I951" s="509">
        <f t="shared" si="58"/>
        <v>0</v>
      </c>
      <c r="J951" s="509"/>
      <c r="K951" s="640"/>
      <c r="L951" s="514"/>
      <c r="M951" s="640"/>
      <c r="N951" s="514"/>
      <c r="O951" s="514"/>
    </row>
    <row r="952" spans="3:15">
      <c r="C952" s="505">
        <f>IF(D898="","-",+C951+1)</f>
        <v>2061</v>
      </c>
      <c r="D952" s="469">
        <f t="shared" si="55"/>
        <v>0</v>
      </c>
      <c r="E952" s="511">
        <f t="shared" si="59"/>
        <v>0</v>
      </c>
      <c r="F952" s="469">
        <f t="shared" si="54"/>
        <v>0</v>
      </c>
      <c r="G952" s="935">
        <f t="shared" si="56"/>
        <v>0</v>
      </c>
      <c r="H952" s="938">
        <f t="shared" si="57"/>
        <v>0</v>
      </c>
      <c r="I952" s="509">
        <f t="shared" si="58"/>
        <v>0</v>
      </c>
      <c r="J952" s="509"/>
      <c r="K952" s="640"/>
      <c r="L952" s="514"/>
      <c r="M952" s="640"/>
      <c r="N952" s="514"/>
      <c r="O952" s="514"/>
    </row>
    <row r="953" spans="3:15">
      <c r="C953" s="505">
        <f>IF(D898="","-",+C952+1)</f>
        <v>2062</v>
      </c>
      <c r="D953" s="469">
        <f t="shared" si="55"/>
        <v>0</v>
      </c>
      <c r="E953" s="511">
        <f t="shared" si="59"/>
        <v>0</v>
      </c>
      <c r="F953" s="469">
        <f t="shared" si="54"/>
        <v>0</v>
      </c>
      <c r="G953" s="935">
        <f t="shared" si="56"/>
        <v>0</v>
      </c>
      <c r="H953" s="938">
        <f t="shared" si="57"/>
        <v>0</v>
      </c>
      <c r="I953" s="509">
        <f t="shared" si="58"/>
        <v>0</v>
      </c>
      <c r="J953" s="509"/>
      <c r="K953" s="640"/>
      <c r="L953" s="514"/>
      <c r="M953" s="640"/>
      <c r="N953" s="514"/>
      <c r="O953" s="514"/>
    </row>
    <row r="954" spans="3:15">
      <c r="C954" s="505">
        <f>IF(D898="","-",+C953+1)</f>
        <v>2063</v>
      </c>
      <c r="D954" s="469">
        <f t="shared" si="55"/>
        <v>0</v>
      </c>
      <c r="E954" s="511">
        <f t="shared" si="59"/>
        <v>0</v>
      </c>
      <c r="F954" s="469">
        <f t="shared" si="54"/>
        <v>0</v>
      </c>
      <c r="G954" s="935">
        <f t="shared" si="56"/>
        <v>0</v>
      </c>
      <c r="H954" s="938">
        <f t="shared" si="57"/>
        <v>0</v>
      </c>
      <c r="I954" s="509">
        <f t="shared" si="58"/>
        <v>0</v>
      </c>
      <c r="J954" s="509"/>
      <c r="K954" s="640"/>
      <c r="L954" s="514"/>
      <c r="M954" s="640"/>
      <c r="N954" s="514"/>
      <c r="O954" s="514"/>
    </row>
    <row r="955" spans="3:15">
      <c r="C955" s="505">
        <f>IF(D898="","-",+C954+1)</f>
        <v>2064</v>
      </c>
      <c r="D955" s="469">
        <f t="shared" si="55"/>
        <v>0</v>
      </c>
      <c r="E955" s="511">
        <f t="shared" si="59"/>
        <v>0</v>
      </c>
      <c r="F955" s="469">
        <f t="shared" si="54"/>
        <v>0</v>
      </c>
      <c r="G955" s="935">
        <f t="shared" si="56"/>
        <v>0</v>
      </c>
      <c r="H955" s="938">
        <f t="shared" si="57"/>
        <v>0</v>
      </c>
      <c r="I955" s="509">
        <f t="shared" si="58"/>
        <v>0</v>
      </c>
      <c r="J955" s="509"/>
      <c r="K955" s="640"/>
      <c r="L955" s="514"/>
      <c r="M955" s="640"/>
      <c r="N955" s="514"/>
      <c r="O955" s="514"/>
    </row>
    <row r="956" spans="3:15">
      <c r="C956" s="505">
        <f>IF(D898="","-",+C955+1)</f>
        <v>2065</v>
      </c>
      <c r="D956" s="469">
        <f t="shared" si="55"/>
        <v>0</v>
      </c>
      <c r="E956" s="511">
        <f t="shared" si="59"/>
        <v>0</v>
      </c>
      <c r="F956" s="469">
        <f t="shared" si="54"/>
        <v>0</v>
      </c>
      <c r="G956" s="935">
        <f t="shared" si="56"/>
        <v>0</v>
      </c>
      <c r="H956" s="938">
        <f t="shared" si="57"/>
        <v>0</v>
      </c>
      <c r="I956" s="509">
        <f t="shared" si="58"/>
        <v>0</v>
      </c>
      <c r="J956" s="509"/>
      <c r="K956" s="640"/>
      <c r="L956" s="514"/>
      <c r="M956" s="640"/>
      <c r="N956" s="514"/>
      <c r="O956" s="514"/>
    </row>
    <row r="957" spans="3:15">
      <c r="C957" s="505">
        <f>IF(D898="","-",+C956+1)</f>
        <v>2066</v>
      </c>
      <c r="D957" s="469">
        <f t="shared" si="55"/>
        <v>0</v>
      </c>
      <c r="E957" s="511">
        <f t="shared" si="59"/>
        <v>0</v>
      </c>
      <c r="F957" s="469">
        <f t="shared" si="54"/>
        <v>0</v>
      </c>
      <c r="G957" s="935">
        <f t="shared" si="56"/>
        <v>0</v>
      </c>
      <c r="H957" s="938">
        <f t="shared" si="57"/>
        <v>0</v>
      </c>
      <c r="I957" s="509">
        <f t="shared" si="58"/>
        <v>0</v>
      </c>
      <c r="J957" s="509"/>
      <c r="K957" s="640"/>
      <c r="L957" s="514"/>
      <c r="M957" s="640"/>
      <c r="N957" s="514"/>
      <c r="O957" s="514"/>
    </row>
    <row r="958" spans="3:15">
      <c r="C958" s="505">
        <f>IF(D898="","-",+C957+1)</f>
        <v>2067</v>
      </c>
      <c r="D958" s="469">
        <f t="shared" si="55"/>
        <v>0</v>
      </c>
      <c r="E958" s="511">
        <f t="shared" si="59"/>
        <v>0</v>
      </c>
      <c r="F958" s="469">
        <f t="shared" si="54"/>
        <v>0</v>
      </c>
      <c r="G958" s="935">
        <f t="shared" si="56"/>
        <v>0</v>
      </c>
      <c r="H958" s="938">
        <f t="shared" si="57"/>
        <v>0</v>
      </c>
      <c r="I958" s="509">
        <f t="shared" si="58"/>
        <v>0</v>
      </c>
      <c r="J958" s="509"/>
      <c r="K958" s="640"/>
      <c r="L958" s="514"/>
      <c r="M958" s="640"/>
      <c r="N958" s="514"/>
      <c r="O958" s="514"/>
    </row>
    <row r="959" spans="3:15">
      <c r="C959" s="505">
        <f>IF(D898="","-",+C958+1)</f>
        <v>2068</v>
      </c>
      <c r="D959" s="469">
        <f t="shared" si="55"/>
        <v>0</v>
      </c>
      <c r="E959" s="511">
        <f t="shared" si="59"/>
        <v>0</v>
      </c>
      <c r="F959" s="469">
        <f t="shared" si="54"/>
        <v>0</v>
      </c>
      <c r="G959" s="935">
        <f t="shared" si="56"/>
        <v>0</v>
      </c>
      <c r="H959" s="938">
        <f t="shared" si="57"/>
        <v>0</v>
      </c>
      <c r="I959" s="509">
        <f t="shared" si="58"/>
        <v>0</v>
      </c>
      <c r="J959" s="509"/>
      <c r="K959" s="640"/>
      <c r="L959" s="514"/>
      <c r="M959" s="640"/>
      <c r="N959" s="514"/>
      <c r="O959" s="514"/>
    </row>
    <row r="960" spans="3:15">
      <c r="C960" s="505">
        <f>IF(D898="","-",+C959+1)</f>
        <v>2069</v>
      </c>
      <c r="D960" s="469">
        <f t="shared" si="55"/>
        <v>0</v>
      </c>
      <c r="E960" s="511">
        <f t="shared" si="59"/>
        <v>0</v>
      </c>
      <c r="F960" s="469">
        <f t="shared" si="54"/>
        <v>0</v>
      </c>
      <c r="G960" s="935">
        <f t="shared" si="56"/>
        <v>0</v>
      </c>
      <c r="H960" s="938">
        <f t="shared" si="57"/>
        <v>0</v>
      </c>
      <c r="I960" s="509">
        <f t="shared" si="58"/>
        <v>0</v>
      </c>
      <c r="J960" s="509"/>
      <c r="K960" s="640"/>
      <c r="L960" s="514"/>
      <c r="M960" s="640"/>
      <c r="N960" s="514"/>
      <c r="O960" s="514"/>
    </row>
    <row r="961" spans="1:16">
      <c r="C961" s="505">
        <f>IF(D898="","-",+C960+1)</f>
        <v>2070</v>
      </c>
      <c r="D961" s="469">
        <f t="shared" si="55"/>
        <v>0</v>
      </c>
      <c r="E961" s="511">
        <f t="shared" si="59"/>
        <v>0</v>
      </c>
      <c r="F961" s="469">
        <f t="shared" si="54"/>
        <v>0</v>
      </c>
      <c r="G961" s="935">
        <f t="shared" si="56"/>
        <v>0</v>
      </c>
      <c r="H961" s="938">
        <f t="shared" si="57"/>
        <v>0</v>
      </c>
      <c r="I961" s="509">
        <f t="shared" si="58"/>
        <v>0</v>
      </c>
      <c r="J961" s="509"/>
      <c r="K961" s="640"/>
      <c r="L961" s="514"/>
      <c r="M961" s="640"/>
      <c r="N961" s="514"/>
      <c r="O961" s="514"/>
    </row>
    <row r="962" spans="1:16">
      <c r="C962" s="505">
        <f>IF(D898="","-",+C961+1)</f>
        <v>2071</v>
      </c>
      <c r="D962" s="469">
        <f t="shared" si="55"/>
        <v>0</v>
      </c>
      <c r="E962" s="511">
        <f t="shared" si="59"/>
        <v>0</v>
      </c>
      <c r="F962" s="469">
        <f t="shared" si="54"/>
        <v>0</v>
      </c>
      <c r="G962" s="935">
        <f t="shared" si="56"/>
        <v>0</v>
      </c>
      <c r="H962" s="938">
        <f t="shared" si="57"/>
        <v>0</v>
      </c>
      <c r="I962" s="509">
        <f t="shared" si="58"/>
        <v>0</v>
      </c>
      <c r="J962" s="509"/>
      <c r="K962" s="640"/>
      <c r="L962" s="514"/>
      <c r="M962" s="640"/>
      <c r="N962" s="514"/>
      <c r="O962" s="514"/>
    </row>
    <row r="963" spans="1:16" ht="13.5" thickBot="1">
      <c r="C963" s="515">
        <f>IF(D898="","-",+C962+1)</f>
        <v>2072</v>
      </c>
      <c r="D963" s="516">
        <f t="shared" si="55"/>
        <v>0</v>
      </c>
      <c r="E963" s="517">
        <f t="shared" si="59"/>
        <v>0</v>
      </c>
      <c r="F963" s="516">
        <f t="shared" si="54"/>
        <v>0</v>
      </c>
      <c r="G963" s="946">
        <f t="shared" si="56"/>
        <v>0</v>
      </c>
      <c r="H963" s="946">
        <f t="shared" si="57"/>
        <v>0</v>
      </c>
      <c r="I963" s="519">
        <f t="shared" si="58"/>
        <v>0</v>
      </c>
      <c r="J963" s="509"/>
      <c r="K963" s="641"/>
      <c r="L963" s="521"/>
      <c r="M963" s="641"/>
      <c r="N963" s="521"/>
      <c r="O963" s="521"/>
    </row>
    <row r="964" spans="1:16">
      <c r="C964" s="469" t="s">
        <v>288</v>
      </c>
      <c r="D964" s="915"/>
      <c r="E964" s="469"/>
      <c r="F964" s="915"/>
      <c r="G964" s="915">
        <f>SUM(G904:G963)</f>
        <v>17644040.681290902</v>
      </c>
      <c r="H964" s="915">
        <f>SUM(H904:H963)</f>
        <v>17644040.681290902</v>
      </c>
      <c r="I964" s="915">
        <f>SUM(I904:I963)</f>
        <v>0</v>
      </c>
      <c r="J964" s="915"/>
      <c r="K964" s="915"/>
      <c r="L964" s="915"/>
      <c r="M964" s="915"/>
      <c r="N964" s="915"/>
      <c r="O964" s="4"/>
    </row>
    <row r="965" spans="1:16">
      <c r="D965" s="79"/>
      <c r="E965" s="4"/>
      <c r="F965" s="4"/>
      <c r="G965" s="4"/>
      <c r="H965" s="914"/>
      <c r="I965" s="914"/>
      <c r="J965" s="915"/>
      <c r="K965" s="914"/>
      <c r="L965" s="914"/>
      <c r="M965" s="914"/>
      <c r="N965" s="914"/>
      <c r="O965" s="4"/>
    </row>
    <row r="966" spans="1:16">
      <c r="C966" s="4" t="s">
        <v>595</v>
      </c>
      <c r="D966" s="79"/>
      <c r="E966" s="4"/>
      <c r="F966" s="4"/>
      <c r="G966" s="4"/>
      <c r="H966" s="914"/>
      <c r="I966" s="914"/>
      <c r="J966" s="915"/>
      <c r="K966" s="914"/>
      <c r="L966" s="914"/>
      <c r="M966" s="914"/>
      <c r="N966" s="914"/>
      <c r="O966" s="4"/>
    </row>
    <row r="967" spans="1:16">
      <c r="C967" s="4"/>
      <c r="D967" s="79"/>
      <c r="E967" s="4"/>
      <c r="F967" s="4"/>
      <c r="G967" s="4"/>
      <c r="H967" s="914"/>
      <c r="I967" s="914"/>
      <c r="J967" s="915"/>
      <c r="K967" s="914"/>
      <c r="L967" s="914"/>
      <c r="M967" s="914"/>
      <c r="N967" s="914"/>
      <c r="O967" s="4"/>
    </row>
    <row r="968" spans="1:16">
      <c r="C968" s="479" t="s">
        <v>924</v>
      </c>
      <c r="D968" s="469"/>
      <c r="E968" s="469"/>
      <c r="F968" s="469"/>
      <c r="G968" s="915"/>
      <c r="H968" s="915"/>
      <c r="I968" s="471"/>
      <c r="J968" s="471"/>
      <c r="K968" s="471"/>
      <c r="L968" s="471"/>
      <c r="M968" s="471"/>
      <c r="N968" s="471"/>
      <c r="O968" s="4"/>
    </row>
    <row r="969" spans="1:16">
      <c r="C969" s="479" t="s">
        <v>476</v>
      </c>
      <c r="D969" s="469"/>
      <c r="E969" s="469"/>
      <c r="F969" s="469"/>
      <c r="G969" s="915"/>
      <c r="H969" s="915"/>
      <c r="I969" s="471"/>
      <c r="J969" s="471"/>
      <c r="K969" s="471"/>
      <c r="L969" s="471"/>
      <c r="M969" s="471"/>
      <c r="N969" s="471"/>
      <c r="O969" s="4"/>
    </row>
    <row r="970" spans="1:16">
      <c r="C970" s="470" t="s">
        <v>289</v>
      </c>
      <c r="D970" s="469"/>
      <c r="E970" s="469"/>
      <c r="F970" s="469"/>
      <c r="G970" s="915"/>
      <c r="H970" s="915"/>
      <c r="I970" s="471"/>
      <c r="J970" s="471"/>
      <c r="K970" s="471"/>
      <c r="L970" s="471"/>
      <c r="M970" s="471"/>
      <c r="N970" s="471"/>
      <c r="O970" s="4"/>
    </row>
    <row r="971" spans="1:16">
      <c r="C971" s="470"/>
      <c r="D971" s="469"/>
      <c r="E971" s="469"/>
      <c r="F971" s="469"/>
      <c r="G971" s="915"/>
      <c r="H971" s="915"/>
      <c r="I971" s="471"/>
      <c r="J971" s="471"/>
      <c r="K971" s="471"/>
      <c r="L971" s="471"/>
      <c r="M971" s="471"/>
      <c r="N971" s="471"/>
      <c r="O971" s="4"/>
    </row>
    <row r="972" spans="1:16">
      <c r="C972" s="1275" t="s">
        <v>460</v>
      </c>
      <c r="D972" s="1275"/>
      <c r="E972" s="1275"/>
      <c r="F972" s="1275"/>
      <c r="G972" s="1275"/>
      <c r="H972" s="1275"/>
      <c r="I972" s="1275"/>
      <c r="J972" s="1275"/>
      <c r="K972" s="1275"/>
      <c r="L972" s="1275"/>
      <c r="M972" s="1275"/>
      <c r="N972" s="1275"/>
      <c r="O972" s="1275"/>
    </row>
    <row r="973" spans="1:16">
      <c r="C973" s="1275"/>
      <c r="D973" s="1275"/>
      <c r="E973" s="1275"/>
      <c r="F973" s="1275"/>
      <c r="G973" s="1275"/>
      <c r="H973" s="1275"/>
      <c r="I973" s="1275"/>
      <c r="J973" s="1275"/>
      <c r="K973" s="1275"/>
      <c r="L973" s="1275"/>
      <c r="M973" s="1275"/>
      <c r="N973" s="1275"/>
      <c r="O973" s="1275"/>
    </row>
    <row r="974" spans="1:16" ht="20.25">
      <c r="A974" s="411" t="s">
        <v>921</v>
      </c>
      <c r="B974" s="4"/>
      <c r="C974" s="4"/>
      <c r="D974" s="79"/>
      <c r="E974" s="4"/>
      <c r="F974" s="81"/>
      <c r="G974" s="4"/>
      <c r="H974" s="914"/>
      <c r="K974" s="11"/>
      <c r="L974" s="11"/>
      <c r="M974" s="11"/>
      <c r="N974" s="11" t="str">
        <f>"Page "&amp;SUM(P$6:P974)&amp;" of "</f>
        <v xml:space="preserve">Page 11 of </v>
      </c>
      <c r="O974" s="412">
        <f>COUNT(P$6:P$59579)</f>
        <v>22</v>
      </c>
      <c r="P974" s="4">
        <v>1</v>
      </c>
    </row>
    <row r="975" spans="1:16">
      <c r="B975" s="4"/>
      <c r="C975" s="4"/>
      <c r="D975" s="79"/>
      <c r="E975" s="4"/>
      <c r="F975" s="4"/>
      <c r="G975" s="4"/>
      <c r="H975" s="914"/>
      <c r="I975" s="4"/>
      <c r="J975" s="4"/>
      <c r="K975" s="4"/>
      <c r="L975" s="4"/>
      <c r="M975" s="4"/>
      <c r="N975" s="4"/>
      <c r="O975" s="4"/>
    </row>
    <row r="976" spans="1:16" ht="18">
      <c r="B976" s="413" t="s">
        <v>174</v>
      </c>
      <c r="C976" s="472" t="s">
        <v>290</v>
      </c>
      <c r="D976" s="79"/>
      <c r="E976" s="4"/>
      <c r="F976" s="4"/>
      <c r="G976" s="4"/>
      <c r="H976" s="914"/>
      <c r="I976" s="914"/>
      <c r="J976" s="915"/>
      <c r="K976" s="914"/>
      <c r="L976" s="914"/>
      <c r="M976" s="914"/>
      <c r="N976" s="914"/>
      <c r="O976" s="4"/>
    </row>
    <row r="977" spans="1:15" ht="18.75">
      <c r="B977" s="413"/>
      <c r="C977" s="13"/>
      <c r="D977" s="79"/>
      <c r="E977" s="4"/>
      <c r="F977" s="4"/>
      <c r="G977" s="4"/>
      <c r="H977" s="914"/>
      <c r="I977" s="914"/>
      <c r="J977" s="915"/>
      <c r="K977" s="914"/>
      <c r="L977" s="914"/>
      <c r="M977" s="914"/>
      <c r="N977" s="914"/>
      <c r="O977" s="4"/>
    </row>
    <row r="978" spans="1:15" ht="18.75">
      <c r="B978" s="413"/>
      <c r="C978" s="13" t="s">
        <v>291</v>
      </c>
      <c r="D978" s="79"/>
      <c r="E978" s="4"/>
      <c r="F978" s="4"/>
      <c r="G978" s="4"/>
      <c r="H978" s="914"/>
      <c r="I978" s="914"/>
      <c r="J978" s="915"/>
      <c r="K978" s="914"/>
      <c r="L978" s="914"/>
      <c r="M978" s="914"/>
      <c r="N978" s="914"/>
      <c r="O978" s="4"/>
    </row>
    <row r="979" spans="1:15" ht="15.75" thickBot="1">
      <c r="C979" s="247"/>
      <c r="D979" s="79"/>
      <c r="E979" s="4"/>
      <c r="F979" s="4"/>
      <c r="G979" s="4"/>
      <c r="H979" s="914"/>
      <c r="I979" s="914"/>
      <c r="J979" s="915"/>
      <c r="K979" s="914"/>
      <c r="L979" s="914"/>
      <c r="M979" s="914"/>
      <c r="N979" s="914"/>
      <c r="O979" s="4"/>
    </row>
    <row r="980" spans="1:15" ht="15.75">
      <c r="C980" s="414" t="s">
        <v>292</v>
      </c>
      <c r="D980" s="79"/>
      <c r="E980" s="4"/>
      <c r="F980" s="4"/>
      <c r="G980" s="948"/>
      <c r="H980" s="4" t="s">
        <v>271</v>
      </c>
      <c r="I980" s="4"/>
      <c r="J980" s="4"/>
      <c r="K980" s="473" t="s">
        <v>296</v>
      </c>
      <c r="L980" s="474"/>
      <c r="M980" s="475"/>
      <c r="N980" s="917">
        <f>VLOOKUP(I986,C993:O1052,5)</f>
        <v>137172.93449723814</v>
      </c>
      <c r="O980" s="4"/>
    </row>
    <row r="981" spans="1:15" ht="15.75">
      <c r="C981" s="414"/>
      <c r="D981" s="79"/>
      <c r="E981" s="4"/>
      <c r="F981" s="4"/>
      <c r="G981" s="4"/>
      <c r="H981" s="918"/>
      <c r="I981" s="918"/>
      <c r="J981" s="919"/>
      <c r="K981" s="478" t="s">
        <v>297</v>
      </c>
      <c r="L981" s="920"/>
      <c r="M981" s="4"/>
      <c r="N981" s="921">
        <f>VLOOKUP(I986,C993:O1052,6)</f>
        <v>137172.93449723814</v>
      </c>
      <c r="O981" s="4"/>
    </row>
    <row r="982" spans="1:15" ht="13.5" thickBot="1">
      <c r="C982" s="479" t="s">
        <v>293</v>
      </c>
      <c r="D982" s="956" t="s">
        <v>934</v>
      </c>
      <c r="E982" s="953"/>
      <c r="F982" s="953"/>
      <c r="G982" s="953"/>
      <c r="H982" s="643"/>
      <c r="I982" s="643"/>
      <c r="J982" s="915"/>
      <c r="K982" s="922" t="s">
        <v>450</v>
      </c>
      <c r="L982" s="923"/>
      <c r="M982" s="923"/>
      <c r="N982" s="924">
        <f>+N981-N980</f>
        <v>0</v>
      </c>
      <c r="O982" s="4"/>
    </row>
    <row r="983" spans="1:15">
      <c r="C983" s="481"/>
      <c r="D983" s="482"/>
      <c r="E983" s="469"/>
      <c r="F983" s="469"/>
      <c r="G983" s="483"/>
      <c r="H983" s="914"/>
      <c r="I983" s="914"/>
      <c r="J983" s="915"/>
      <c r="K983" s="914"/>
      <c r="L983" s="914"/>
      <c r="M983" s="914"/>
      <c r="N983" s="914"/>
      <c r="O983" s="4"/>
    </row>
    <row r="984" spans="1:15" ht="13.5" thickBot="1">
      <c r="C984" s="481"/>
      <c r="D984" s="925"/>
      <c r="E984" s="483"/>
      <c r="F984" s="483"/>
      <c r="G984" s="483"/>
      <c r="H984" s="483"/>
      <c r="I984" s="483"/>
      <c r="J984" s="483"/>
      <c r="K984" s="483"/>
      <c r="L984" s="483"/>
      <c r="M984" s="483"/>
      <c r="N984" s="483"/>
      <c r="O984" s="4"/>
    </row>
    <row r="985" spans="1:15" ht="13.5" thickBot="1">
      <c r="C985" s="484" t="s">
        <v>294</v>
      </c>
      <c r="D985" s="485"/>
      <c r="E985" s="485"/>
      <c r="F985" s="485"/>
      <c r="G985" s="485"/>
      <c r="H985" s="485"/>
      <c r="I985" s="486"/>
      <c r="K985" s="4"/>
      <c r="L985" s="4"/>
      <c r="M985" s="4"/>
      <c r="N985" s="4"/>
      <c r="O985" s="4"/>
    </row>
    <row r="986" spans="1:15" ht="15">
      <c r="C986" s="487" t="s">
        <v>272</v>
      </c>
      <c r="D986" s="926">
        <v>850534</v>
      </c>
      <c r="E986" s="4" t="s">
        <v>273</v>
      </c>
      <c r="G986" s="79"/>
      <c r="H986" s="79"/>
      <c r="I986" s="488">
        <v>2018</v>
      </c>
      <c r="J986" s="135"/>
      <c r="K986" s="1277" t="s">
        <v>459</v>
      </c>
      <c r="L986" s="1277"/>
      <c r="M986" s="1277"/>
      <c r="N986" s="1277"/>
      <c r="O986" s="1277"/>
    </row>
    <row r="987" spans="1:15">
      <c r="C987" s="487" t="s">
        <v>275</v>
      </c>
      <c r="D987" s="636">
        <v>2014</v>
      </c>
      <c r="E987" s="487" t="s">
        <v>276</v>
      </c>
      <c r="F987" s="79"/>
      <c r="H987"/>
      <c r="I987" s="927">
        <f>IF(G980="",0,$F$15)</f>
        <v>0</v>
      </c>
      <c r="J987" s="489"/>
      <c r="K987" s="915" t="s">
        <v>459</v>
      </c>
    </row>
    <row r="988" spans="1:15">
      <c r="C988" s="487" t="s">
        <v>277</v>
      </c>
      <c r="D988" s="926">
        <v>12</v>
      </c>
      <c r="E988" s="487" t="s">
        <v>278</v>
      </c>
      <c r="F988" s="79"/>
      <c r="H988"/>
      <c r="I988" s="490">
        <f>$G$70</f>
        <v>0.14996626714737105</v>
      </c>
      <c r="J988" s="81"/>
      <c r="K988" t="str">
        <f>"          INPUT PROJECTED ARR (WITH &amp; WITHOUT INCENTIVES) FROM EACH PRIOR YEAR"</f>
        <v xml:space="preserve">          INPUT PROJECTED ARR (WITH &amp; WITHOUT INCENTIVES) FROM EACH PRIOR YEAR</v>
      </c>
    </row>
    <row r="989" spans="1:15">
      <c r="C989" s="487" t="s">
        <v>279</v>
      </c>
      <c r="D989" s="491">
        <f>G$79</f>
        <v>42</v>
      </c>
      <c r="E989" s="487" t="s">
        <v>280</v>
      </c>
      <c r="F989" s="79"/>
      <c r="H989"/>
      <c r="I989" s="490">
        <f>IF(G980="",I988,$G$67)</f>
        <v>0.14996626714737105</v>
      </c>
      <c r="J989" s="81"/>
      <c r="K989" t="s">
        <v>357</v>
      </c>
    </row>
    <row r="990" spans="1:15" ht="13.5" thickBot="1">
      <c r="C990" s="487" t="s">
        <v>281</v>
      </c>
      <c r="D990" s="637" t="s">
        <v>923</v>
      </c>
      <c r="E990" s="492" t="s">
        <v>282</v>
      </c>
      <c r="F990" s="493"/>
      <c r="G990" s="494"/>
      <c r="H990" s="494"/>
      <c r="I990" s="924">
        <f>IF(D986=0,0,D986/D989)</f>
        <v>20250.809523809523</v>
      </c>
      <c r="J990" s="915"/>
      <c r="K990" s="915" t="s">
        <v>363</v>
      </c>
      <c r="L990" s="915"/>
      <c r="M990" s="915"/>
      <c r="N990" s="915"/>
      <c r="O990" s="4"/>
    </row>
    <row r="991" spans="1:15" ht="51">
      <c r="A991" s="12"/>
      <c r="B991" s="12"/>
      <c r="C991" s="495" t="s">
        <v>272</v>
      </c>
      <c r="D991" s="928" t="s">
        <v>283</v>
      </c>
      <c r="E991" s="929" t="s">
        <v>284</v>
      </c>
      <c r="F991" s="928" t="s">
        <v>285</v>
      </c>
      <c r="G991" s="929" t="s">
        <v>356</v>
      </c>
      <c r="H991" s="930" t="s">
        <v>356</v>
      </c>
      <c r="I991" s="495" t="s">
        <v>295</v>
      </c>
      <c r="J991" s="499"/>
      <c r="K991" s="929" t="s">
        <v>365</v>
      </c>
      <c r="L991" s="931"/>
      <c r="M991" s="929" t="s">
        <v>365</v>
      </c>
      <c r="N991" s="931"/>
      <c r="O991" s="931"/>
    </row>
    <row r="992" spans="1:15" ht="13.5" thickBot="1">
      <c r="C992" s="500" t="s">
        <v>177</v>
      </c>
      <c r="D992" s="501" t="s">
        <v>178</v>
      </c>
      <c r="E992" s="500" t="s">
        <v>37</v>
      </c>
      <c r="F992" s="501" t="s">
        <v>178</v>
      </c>
      <c r="G992" s="932" t="s">
        <v>298</v>
      </c>
      <c r="H992" s="933" t="s">
        <v>300</v>
      </c>
      <c r="I992" s="500" t="s">
        <v>389</v>
      </c>
      <c r="J992" s="504"/>
      <c r="K992" s="932" t="s">
        <v>287</v>
      </c>
      <c r="L992" s="934"/>
      <c r="M992" s="932" t="s">
        <v>300</v>
      </c>
      <c r="N992" s="934"/>
      <c r="O992" s="934"/>
    </row>
    <row r="993" spans="3:15">
      <c r="C993" s="505">
        <f>IF(D987= "","-",D987)</f>
        <v>2014</v>
      </c>
      <c r="D993" s="469">
        <f>+D986</f>
        <v>850534</v>
      </c>
      <c r="E993" s="958">
        <f>+I990/12*(12-D988)</f>
        <v>0</v>
      </c>
      <c r="F993" s="469">
        <f t="shared" ref="F993:F1052" si="60">+D993-E993</f>
        <v>850534</v>
      </c>
      <c r="G993" s="936">
        <f>+$I$988*((D993+F993)/2)+E993</f>
        <v>127551.40906192208</v>
      </c>
      <c r="H993" s="937">
        <f>$I$989*((D993+F993)/2)+E993</f>
        <v>127551.40906192208</v>
      </c>
      <c r="I993" s="509">
        <f>+H993-G993</f>
        <v>0</v>
      </c>
      <c r="J993" s="509"/>
      <c r="K993" s="639">
        <v>99055</v>
      </c>
      <c r="L993" s="510"/>
      <c r="M993" s="639">
        <v>99055</v>
      </c>
      <c r="N993" s="510"/>
      <c r="O993" s="510"/>
    </row>
    <row r="994" spans="3:15">
      <c r="C994" s="505">
        <f>IF(D987="","-",+C993+1)</f>
        <v>2015</v>
      </c>
      <c r="D994" s="469">
        <f t="shared" ref="D994:D1052" si="61">F993</f>
        <v>850534</v>
      </c>
      <c r="E994" s="511">
        <f>IF(D994&gt;$I$990,$I$990,D994)</f>
        <v>20250.809523809523</v>
      </c>
      <c r="F994" s="469">
        <f t="shared" si="60"/>
        <v>830283.19047619053</v>
      </c>
      <c r="G994" s="935">
        <f t="shared" ref="G994:G1052" si="62">+$I$988*((D994+F994)/2)+E994</f>
        <v>146283.74943023254</v>
      </c>
      <c r="H994" s="938">
        <f t="shared" ref="H994:H1052" si="63">$I$989*((D994+F994)/2)+E994</f>
        <v>146283.74943023254</v>
      </c>
      <c r="I994" s="509">
        <f t="shared" ref="I994:I1052" si="64">+H994-G994</f>
        <v>0</v>
      </c>
      <c r="J994" s="509"/>
      <c r="K994" s="640">
        <v>178664</v>
      </c>
      <c r="L994" s="514"/>
      <c r="M994" s="640">
        <v>178664</v>
      </c>
      <c r="N994" s="514"/>
      <c r="O994" s="514"/>
    </row>
    <row r="995" spans="3:15">
      <c r="C995" s="505">
        <f>IF(D987="","-",+C994+1)</f>
        <v>2016</v>
      </c>
      <c r="D995" s="469">
        <f t="shared" si="61"/>
        <v>830283.19047619053</v>
      </c>
      <c r="E995" s="511">
        <f t="shared" ref="E995:E1052" si="65">IF(D995&gt;$I$990,$I$990,D995)</f>
        <v>20250.809523809523</v>
      </c>
      <c r="F995" s="469">
        <f t="shared" si="60"/>
        <v>810032.38095238106</v>
      </c>
      <c r="G995" s="935">
        <f t="shared" si="62"/>
        <v>143246.81111923439</v>
      </c>
      <c r="H995" s="938">
        <f t="shared" si="63"/>
        <v>143246.81111923439</v>
      </c>
      <c r="I995" s="509">
        <f t="shared" si="64"/>
        <v>0</v>
      </c>
      <c r="J995" s="509"/>
      <c r="K995" s="640">
        <v>174005</v>
      </c>
      <c r="L995" s="514"/>
      <c r="M995" s="640">
        <v>174005</v>
      </c>
      <c r="N995" s="514"/>
      <c r="O995" s="514"/>
    </row>
    <row r="996" spans="3:15">
      <c r="C996" s="505">
        <f>IF(D987="","-",+C995+1)</f>
        <v>2017</v>
      </c>
      <c r="D996" s="469">
        <f t="shared" si="61"/>
        <v>810032.38095238106</v>
      </c>
      <c r="E996" s="511">
        <f t="shared" si="65"/>
        <v>20250.809523809523</v>
      </c>
      <c r="F996" s="469">
        <f t="shared" si="60"/>
        <v>789781.57142857159</v>
      </c>
      <c r="G996" s="935">
        <f t="shared" si="62"/>
        <v>140209.87280823625</v>
      </c>
      <c r="H996" s="938">
        <f t="shared" si="63"/>
        <v>140209.87280823625</v>
      </c>
      <c r="I996" s="509">
        <f t="shared" si="64"/>
        <v>0</v>
      </c>
      <c r="J996" s="509"/>
      <c r="K996" s="640">
        <v>176014</v>
      </c>
      <c r="L996" s="514"/>
      <c r="M996" s="640">
        <v>174014</v>
      </c>
      <c r="N996" s="514"/>
      <c r="O996" s="514"/>
    </row>
    <row r="997" spans="3:15">
      <c r="C997" s="940">
        <f>IF(D987="","-",+C996+1)</f>
        <v>2018</v>
      </c>
      <c r="D997" s="941">
        <f t="shared" si="61"/>
        <v>789781.57142857159</v>
      </c>
      <c r="E997" s="942">
        <f t="shared" si="65"/>
        <v>20250.809523809523</v>
      </c>
      <c r="F997" s="941">
        <f t="shared" si="60"/>
        <v>769530.76190476213</v>
      </c>
      <c r="G997" s="943">
        <f t="shared" si="62"/>
        <v>137172.93449723814</v>
      </c>
      <c r="H997" s="944">
        <f t="shared" si="63"/>
        <v>137172.93449723814</v>
      </c>
      <c r="I997" s="945">
        <f t="shared" si="64"/>
        <v>0</v>
      </c>
      <c r="J997" s="509"/>
      <c r="K997" s="640"/>
      <c r="L997" s="514"/>
      <c r="M997" s="640"/>
      <c r="N997" s="514"/>
      <c r="O997" s="514"/>
    </row>
    <row r="998" spans="3:15">
      <c r="C998" s="505">
        <f>IF(D987="","-",+C997+1)</f>
        <v>2019</v>
      </c>
      <c r="D998" s="469">
        <f t="shared" si="61"/>
        <v>769530.76190476213</v>
      </c>
      <c r="E998" s="511">
        <f t="shared" si="65"/>
        <v>20250.809523809523</v>
      </c>
      <c r="F998" s="469">
        <f t="shared" si="60"/>
        <v>749279.95238095266</v>
      </c>
      <c r="G998" s="935">
        <f t="shared" si="62"/>
        <v>134135.99618623999</v>
      </c>
      <c r="H998" s="938">
        <f t="shared" si="63"/>
        <v>134135.99618623999</v>
      </c>
      <c r="I998" s="509">
        <f t="shared" si="64"/>
        <v>0</v>
      </c>
      <c r="J998" s="509"/>
      <c r="K998" s="640"/>
      <c r="L998" s="514"/>
      <c r="M998" s="640"/>
      <c r="N998" s="514"/>
      <c r="O998" s="514"/>
    </row>
    <row r="999" spans="3:15">
      <c r="C999" s="505">
        <f>IF(D987="","-",+C998+1)</f>
        <v>2020</v>
      </c>
      <c r="D999" s="469">
        <f t="shared" si="61"/>
        <v>749279.95238095266</v>
      </c>
      <c r="E999" s="511">
        <f t="shared" si="65"/>
        <v>20250.809523809523</v>
      </c>
      <c r="F999" s="469">
        <f t="shared" si="60"/>
        <v>729029.14285714319</v>
      </c>
      <c r="G999" s="935">
        <f t="shared" si="62"/>
        <v>131099.05787524185</v>
      </c>
      <c r="H999" s="938">
        <f t="shared" si="63"/>
        <v>131099.05787524185</v>
      </c>
      <c r="I999" s="509">
        <f t="shared" si="64"/>
        <v>0</v>
      </c>
      <c r="J999" s="509"/>
      <c r="K999" s="640"/>
      <c r="L999" s="514"/>
      <c r="M999" s="640"/>
      <c r="N999" s="514"/>
      <c r="O999" s="514"/>
    </row>
    <row r="1000" spans="3:15">
      <c r="C1000" s="505">
        <f>IF(D987="","-",+C999+1)</f>
        <v>2021</v>
      </c>
      <c r="D1000" s="469">
        <f t="shared" si="61"/>
        <v>729029.14285714319</v>
      </c>
      <c r="E1000" s="511">
        <f t="shared" si="65"/>
        <v>20250.809523809523</v>
      </c>
      <c r="F1000" s="469">
        <f t="shared" si="60"/>
        <v>708778.33333333372</v>
      </c>
      <c r="G1000" s="935">
        <f t="shared" si="62"/>
        <v>128062.11956424372</v>
      </c>
      <c r="H1000" s="938">
        <f t="shared" si="63"/>
        <v>128062.11956424372</v>
      </c>
      <c r="I1000" s="509">
        <f t="shared" si="64"/>
        <v>0</v>
      </c>
      <c r="J1000" s="509"/>
      <c r="K1000" s="640"/>
      <c r="L1000" s="514"/>
      <c r="M1000" s="640"/>
      <c r="N1000" s="514"/>
      <c r="O1000" s="514"/>
    </row>
    <row r="1001" spans="3:15">
      <c r="C1001" s="505">
        <f>IF(D987="","-",+C1000+1)</f>
        <v>2022</v>
      </c>
      <c r="D1001" s="469">
        <f t="shared" si="61"/>
        <v>708778.33333333372</v>
      </c>
      <c r="E1001" s="511">
        <f t="shared" si="65"/>
        <v>20250.809523809523</v>
      </c>
      <c r="F1001" s="469">
        <f t="shared" si="60"/>
        <v>688527.52380952425</v>
      </c>
      <c r="G1001" s="935">
        <f t="shared" si="62"/>
        <v>125025.18125324558</v>
      </c>
      <c r="H1001" s="938">
        <f t="shared" si="63"/>
        <v>125025.18125324558</v>
      </c>
      <c r="I1001" s="509">
        <f t="shared" si="64"/>
        <v>0</v>
      </c>
      <c r="J1001" s="509"/>
      <c r="K1001" s="640"/>
      <c r="L1001" s="514"/>
      <c r="M1001" s="640"/>
      <c r="N1001" s="514"/>
      <c r="O1001" s="514"/>
    </row>
    <row r="1002" spans="3:15">
      <c r="C1002" s="505">
        <f>IF(D987="","-",+C1001+1)</f>
        <v>2023</v>
      </c>
      <c r="D1002" s="469">
        <f t="shared" si="61"/>
        <v>688527.52380952425</v>
      </c>
      <c r="E1002" s="511">
        <f t="shared" si="65"/>
        <v>20250.809523809523</v>
      </c>
      <c r="F1002" s="469">
        <f t="shared" si="60"/>
        <v>668276.71428571478</v>
      </c>
      <c r="G1002" s="935">
        <f t="shared" si="62"/>
        <v>121988.24294224745</v>
      </c>
      <c r="H1002" s="938">
        <f t="shared" si="63"/>
        <v>121988.24294224745</v>
      </c>
      <c r="I1002" s="509">
        <f t="shared" si="64"/>
        <v>0</v>
      </c>
      <c r="J1002" s="509"/>
      <c r="K1002" s="640"/>
      <c r="L1002" s="514"/>
      <c r="M1002" s="640"/>
      <c r="N1002" s="514"/>
      <c r="O1002" s="514"/>
    </row>
    <row r="1003" spans="3:15">
      <c r="C1003" s="505">
        <f>IF(D987="","-",+C1002+1)</f>
        <v>2024</v>
      </c>
      <c r="D1003" s="469">
        <f t="shared" si="61"/>
        <v>668276.71428571478</v>
      </c>
      <c r="E1003" s="511">
        <f t="shared" si="65"/>
        <v>20250.809523809523</v>
      </c>
      <c r="F1003" s="469">
        <f t="shared" si="60"/>
        <v>648025.90476190532</v>
      </c>
      <c r="G1003" s="935">
        <f t="shared" si="62"/>
        <v>118951.30463124931</v>
      </c>
      <c r="H1003" s="938">
        <f t="shared" si="63"/>
        <v>118951.30463124931</v>
      </c>
      <c r="I1003" s="509">
        <f t="shared" si="64"/>
        <v>0</v>
      </c>
      <c r="J1003" s="509"/>
      <c r="K1003" s="640"/>
      <c r="L1003" s="514"/>
      <c r="M1003" s="640"/>
      <c r="N1003" s="514"/>
      <c r="O1003" s="514"/>
    </row>
    <row r="1004" spans="3:15">
      <c r="C1004" s="505">
        <f>IF(D987="","-",+C1003+1)</f>
        <v>2025</v>
      </c>
      <c r="D1004" s="469">
        <f t="shared" si="61"/>
        <v>648025.90476190532</v>
      </c>
      <c r="E1004" s="511">
        <f t="shared" si="65"/>
        <v>20250.809523809523</v>
      </c>
      <c r="F1004" s="469">
        <f t="shared" si="60"/>
        <v>627775.09523809585</v>
      </c>
      <c r="G1004" s="935">
        <f t="shared" si="62"/>
        <v>115914.36632025118</v>
      </c>
      <c r="H1004" s="938">
        <f t="shared" si="63"/>
        <v>115914.36632025118</v>
      </c>
      <c r="I1004" s="509">
        <f t="shared" si="64"/>
        <v>0</v>
      </c>
      <c r="J1004" s="509"/>
      <c r="K1004" s="640"/>
      <c r="L1004" s="514"/>
      <c r="M1004" s="640"/>
      <c r="N1004" s="514"/>
      <c r="O1004" s="514"/>
    </row>
    <row r="1005" spans="3:15">
      <c r="C1005" s="505">
        <f>IF(D987="","-",+C1004+1)</f>
        <v>2026</v>
      </c>
      <c r="D1005" s="469">
        <f t="shared" si="61"/>
        <v>627775.09523809585</v>
      </c>
      <c r="E1005" s="511">
        <f t="shared" si="65"/>
        <v>20250.809523809523</v>
      </c>
      <c r="F1005" s="469">
        <f t="shared" si="60"/>
        <v>607524.28571428638</v>
      </c>
      <c r="G1005" s="935">
        <f t="shared" si="62"/>
        <v>112877.42800925304</v>
      </c>
      <c r="H1005" s="938">
        <f t="shared" si="63"/>
        <v>112877.42800925304</v>
      </c>
      <c r="I1005" s="509">
        <f t="shared" si="64"/>
        <v>0</v>
      </c>
      <c r="J1005" s="509"/>
      <c r="K1005" s="640"/>
      <c r="L1005" s="514"/>
      <c r="M1005" s="640"/>
      <c r="N1005" s="514"/>
      <c r="O1005" s="514"/>
    </row>
    <row r="1006" spans="3:15">
      <c r="C1006" s="505">
        <f>IF(D987="","-",+C1005+1)</f>
        <v>2027</v>
      </c>
      <c r="D1006" s="469">
        <f t="shared" si="61"/>
        <v>607524.28571428638</v>
      </c>
      <c r="E1006" s="511">
        <f t="shared" si="65"/>
        <v>20250.809523809523</v>
      </c>
      <c r="F1006" s="469">
        <f t="shared" si="60"/>
        <v>587273.47619047691</v>
      </c>
      <c r="G1006" s="935">
        <f t="shared" si="62"/>
        <v>109840.48969825491</v>
      </c>
      <c r="H1006" s="938">
        <f t="shared" si="63"/>
        <v>109840.48969825491</v>
      </c>
      <c r="I1006" s="509">
        <f t="shared" si="64"/>
        <v>0</v>
      </c>
      <c r="J1006" s="509"/>
      <c r="K1006" s="640"/>
      <c r="L1006" s="514"/>
      <c r="M1006" s="640"/>
      <c r="N1006" s="514"/>
      <c r="O1006" s="514"/>
    </row>
    <row r="1007" spans="3:15">
      <c r="C1007" s="505">
        <f>IF(D987="","-",+C1006+1)</f>
        <v>2028</v>
      </c>
      <c r="D1007" s="469">
        <f t="shared" si="61"/>
        <v>587273.47619047691</v>
      </c>
      <c r="E1007" s="511">
        <f t="shared" si="65"/>
        <v>20250.809523809523</v>
      </c>
      <c r="F1007" s="469">
        <f t="shared" si="60"/>
        <v>567022.66666666744</v>
      </c>
      <c r="G1007" s="935">
        <f t="shared" si="62"/>
        <v>106803.55138725677</v>
      </c>
      <c r="H1007" s="938">
        <f t="shared" si="63"/>
        <v>106803.55138725677</v>
      </c>
      <c r="I1007" s="509">
        <f t="shared" si="64"/>
        <v>0</v>
      </c>
      <c r="J1007" s="509"/>
      <c r="K1007" s="640"/>
      <c r="L1007" s="514"/>
      <c r="M1007" s="640"/>
      <c r="N1007" s="514"/>
      <c r="O1007" s="514"/>
    </row>
    <row r="1008" spans="3:15">
      <c r="C1008" s="505">
        <f>IF(D987="","-",+C1007+1)</f>
        <v>2029</v>
      </c>
      <c r="D1008" s="469">
        <f t="shared" si="61"/>
        <v>567022.66666666744</v>
      </c>
      <c r="E1008" s="511">
        <f t="shared" si="65"/>
        <v>20250.809523809523</v>
      </c>
      <c r="F1008" s="469">
        <f t="shared" si="60"/>
        <v>546771.85714285797</v>
      </c>
      <c r="G1008" s="935">
        <f t="shared" si="62"/>
        <v>103766.61307625863</v>
      </c>
      <c r="H1008" s="938">
        <f t="shared" si="63"/>
        <v>103766.61307625863</v>
      </c>
      <c r="I1008" s="509">
        <f t="shared" si="64"/>
        <v>0</v>
      </c>
      <c r="J1008" s="509"/>
      <c r="K1008" s="640"/>
      <c r="L1008" s="514"/>
      <c r="M1008" s="640"/>
      <c r="N1008" s="514"/>
      <c r="O1008" s="514"/>
    </row>
    <row r="1009" spans="3:15">
      <c r="C1009" s="505">
        <f>IF(D987="","-",+C1008+1)</f>
        <v>2030</v>
      </c>
      <c r="D1009" s="469">
        <f t="shared" si="61"/>
        <v>546771.85714285797</v>
      </c>
      <c r="E1009" s="511">
        <f t="shared" si="65"/>
        <v>20250.809523809523</v>
      </c>
      <c r="F1009" s="469">
        <f t="shared" si="60"/>
        <v>526521.04761904851</v>
      </c>
      <c r="G1009" s="935">
        <f t="shared" si="62"/>
        <v>100729.6747652605</v>
      </c>
      <c r="H1009" s="938">
        <f t="shared" si="63"/>
        <v>100729.6747652605</v>
      </c>
      <c r="I1009" s="509">
        <f t="shared" si="64"/>
        <v>0</v>
      </c>
      <c r="J1009" s="509"/>
      <c r="K1009" s="640"/>
      <c r="L1009" s="514"/>
      <c r="M1009" s="640"/>
      <c r="N1009" s="514"/>
      <c r="O1009" s="514"/>
    </row>
    <row r="1010" spans="3:15">
      <c r="C1010" s="505">
        <f>IF(D987="","-",+C1009+1)</f>
        <v>2031</v>
      </c>
      <c r="D1010" s="469">
        <f t="shared" si="61"/>
        <v>526521.04761904851</v>
      </c>
      <c r="E1010" s="511">
        <f t="shared" si="65"/>
        <v>20250.809523809523</v>
      </c>
      <c r="F1010" s="469">
        <f t="shared" si="60"/>
        <v>506270.23809523898</v>
      </c>
      <c r="G1010" s="935">
        <f t="shared" si="62"/>
        <v>97692.736454262355</v>
      </c>
      <c r="H1010" s="938">
        <f t="shared" si="63"/>
        <v>97692.736454262355</v>
      </c>
      <c r="I1010" s="509">
        <f t="shared" si="64"/>
        <v>0</v>
      </c>
      <c r="J1010" s="509"/>
      <c r="K1010" s="640"/>
      <c r="L1010" s="514"/>
      <c r="M1010" s="640"/>
      <c r="N1010" s="514"/>
      <c r="O1010" s="514"/>
    </row>
    <row r="1011" spans="3:15">
      <c r="C1011" s="505">
        <f>IF(D987="","-",+C1010+1)</f>
        <v>2032</v>
      </c>
      <c r="D1011" s="469">
        <f t="shared" si="61"/>
        <v>506270.23809523898</v>
      </c>
      <c r="E1011" s="511">
        <f t="shared" si="65"/>
        <v>20250.809523809523</v>
      </c>
      <c r="F1011" s="469">
        <f t="shared" si="60"/>
        <v>486019.42857142945</v>
      </c>
      <c r="G1011" s="935">
        <f t="shared" si="62"/>
        <v>94655.798143264197</v>
      </c>
      <c r="H1011" s="938">
        <f t="shared" si="63"/>
        <v>94655.798143264197</v>
      </c>
      <c r="I1011" s="509">
        <f t="shared" si="64"/>
        <v>0</v>
      </c>
      <c r="J1011" s="509"/>
      <c r="K1011" s="640"/>
      <c r="L1011" s="514"/>
      <c r="M1011" s="640"/>
      <c r="N1011" s="514"/>
      <c r="O1011" s="514"/>
    </row>
    <row r="1012" spans="3:15">
      <c r="C1012" s="505">
        <f>IF(D987="","-",+C1011+1)</f>
        <v>2033</v>
      </c>
      <c r="D1012" s="469">
        <f t="shared" si="61"/>
        <v>486019.42857142945</v>
      </c>
      <c r="E1012" s="511">
        <f t="shared" si="65"/>
        <v>20250.809523809523</v>
      </c>
      <c r="F1012" s="469">
        <f t="shared" si="60"/>
        <v>465768.61904761993</v>
      </c>
      <c r="G1012" s="935">
        <f t="shared" si="62"/>
        <v>91618.859832266069</v>
      </c>
      <c r="H1012" s="938">
        <f t="shared" si="63"/>
        <v>91618.859832266069</v>
      </c>
      <c r="I1012" s="509">
        <f t="shared" si="64"/>
        <v>0</v>
      </c>
      <c r="J1012" s="509"/>
      <c r="K1012" s="640"/>
      <c r="L1012" s="514"/>
      <c r="M1012" s="640"/>
      <c r="N1012" s="514"/>
      <c r="O1012" s="514"/>
    </row>
    <row r="1013" spans="3:15">
      <c r="C1013" s="505">
        <f>IF(D987="","-",+C1012+1)</f>
        <v>2034</v>
      </c>
      <c r="D1013" s="469">
        <f t="shared" si="61"/>
        <v>465768.61904761993</v>
      </c>
      <c r="E1013" s="511">
        <f t="shared" si="65"/>
        <v>20250.809523809523</v>
      </c>
      <c r="F1013" s="469">
        <f t="shared" si="60"/>
        <v>445517.8095238104</v>
      </c>
      <c r="G1013" s="935">
        <f t="shared" si="62"/>
        <v>88581.921521267912</v>
      </c>
      <c r="H1013" s="938">
        <f t="shared" si="63"/>
        <v>88581.921521267912</v>
      </c>
      <c r="I1013" s="509">
        <f t="shared" si="64"/>
        <v>0</v>
      </c>
      <c r="J1013" s="509"/>
      <c r="K1013" s="640"/>
      <c r="L1013" s="514"/>
      <c r="M1013" s="640"/>
      <c r="N1013" s="514"/>
      <c r="O1013" s="514"/>
    </row>
    <row r="1014" spans="3:15">
      <c r="C1014" s="505">
        <f>IF(D987="","-",+C1013+1)</f>
        <v>2035</v>
      </c>
      <c r="D1014" s="469">
        <f t="shared" si="61"/>
        <v>445517.8095238104</v>
      </c>
      <c r="E1014" s="511">
        <f t="shared" si="65"/>
        <v>20250.809523809523</v>
      </c>
      <c r="F1014" s="469">
        <f t="shared" si="60"/>
        <v>425267.00000000087</v>
      </c>
      <c r="G1014" s="935">
        <f t="shared" si="62"/>
        <v>85544.983210269769</v>
      </c>
      <c r="H1014" s="938">
        <f t="shared" si="63"/>
        <v>85544.983210269769</v>
      </c>
      <c r="I1014" s="509">
        <f t="shared" si="64"/>
        <v>0</v>
      </c>
      <c r="J1014" s="509"/>
      <c r="K1014" s="640"/>
      <c r="L1014" s="514"/>
      <c r="M1014" s="640"/>
      <c r="N1014" s="514"/>
      <c r="O1014" s="514"/>
    </row>
    <row r="1015" spans="3:15">
      <c r="C1015" s="505">
        <f>IF(D987="","-",+C1014+1)</f>
        <v>2036</v>
      </c>
      <c r="D1015" s="469">
        <f t="shared" si="61"/>
        <v>425267.00000000087</v>
      </c>
      <c r="E1015" s="511">
        <f t="shared" si="65"/>
        <v>20250.809523809523</v>
      </c>
      <c r="F1015" s="469">
        <f t="shared" si="60"/>
        <v>405016.19047619135</v>
      </c>
      <c r="G1015" s="935">
        <f t="shared" si="62"/>
        <v>82508.044899271626</v>
      </c>
      <c r="H1015" s="938">
        <f t="shared" si="63"/>
        <v>82508.044899271626</v>
      </c>
      <c r="I1015" s="509">
        <f t="shared" si="64"/>
        <v>0</v>
      </c>
      <c r="J1015" s="509"/>
      <c r="K1015" s="640"/>
      <c r="L1015" s="514"/>
      <c r="M1015" s="640"/>
      <c r="N1015" s="514"/>
      <c r="O1015" s="514"/>
    </row>
    <row r="1016" spans="3:15">
      <c r="C1016" s="505">
        <f>IF(D987="","-",+C1015+1)</f>
        <v>2037</v>
      </c>
      <c r="D1016" s="469">
        <f t="shared" si="61"/>
        <v>405016.19047619135</v>
      </c>
      <c r="E1016" s="511">
        <f t="shared" si="65"/>
        <v>20250.809523809523</v>
      </c>
      <c r="F1016" s="469">
        <f t="shared" si="60"/>
        <v>384765.38095238182</v>
      </c>
      <c r="G1016" s="935">
        <f t="shared" si="62"/>
        <v>79471.106588273484</v>
      </c>
      <c r="H1016" s="938">
        <f t="shared" si="63"/>
        <v>79471.106588273484</v>
      </c>
      <c r="I1016" s="509">
        <f t="shared" si="64"/>
        <v>0</v>
      </c>
      <c r="J1016" s="509"/>
      <c r="K1016" s="640"/>
      <c r="L1016" s="514"/>
      <c r="M1016" s="640"/>
      <c r="N1016" s="514"/>
      <c r="O1016" s="514"/>
    </row>
    <row r="1017" spans="3:15">
      <c r="C1017" s="505">
        <f>IF(D987="","-",+C1016+1)</f>
        <v>2038</v>
      </c>
      <c r="D1017" s="469">
        <f t="shared" si="61"/>
        <v>384765.38095238182</v>
      </c>
      <c r="E1017" s="511">
        <f t="shared" si="65"/>
        <v>20250.809523809523</v>
      </c>
      <c r="F1017" s="469">
        <f t="shared" si="60"/>
        <v>364514.57142857229</v>
      </c>
      <c r="G1017" s="935">
        <f t="shared" si="62"/>
        <v>76434.168277275327</v>
      </c>
      <c r="H1017" s="938">
        <f t="shared" si="63"/>
        <v>76434.168277275327</v>
      </c>
      <c r="I1017" s="509">
        <f t="shared" si="64"/>
        <v>0</v>
      </c>
      <c r="J1017" s="509"/>
      <c r="K1017" s="640"/>
      <c r="L1017" s="514"/>
      <c r="M1017" s="640"/>
      <c r="N1017" s="514"/>
      <c r="O1017" s="514"/>
    </row>
    <row r="1018" spans="3:15">
      <c r="C1018" s="505">
        <f>IF(D987="","-",+C1017+1)</f>
        <v>2039</v>
      </c>
      <c r="D1018" s="469">
        <f t="shared" si="61"/>
        <v>364514.57142857229</v>
      </c>
      <c r="E1018" s="511">
        <f t="shared" si="65"/>
        <v>20250.809523809523</v>
      </c>
      <c r="F1018" s="469">
        <f t="shared" si="60"/>
        <v>344263.76190476277</v>
      </c>
      <c r="G1018" s="935">
        <f t="shared" si="62"/>
        <v>73397.229966277198</v>
      </c>
      <c r="H1018" s="938">
        <f t="shared" si="63"/>
        <v>73397.229966277198</v>
      </c>
      <c r="I1018" s="509">
        <f t="shared" si="64"/>
        <v>0</v>
      </c>
      <c r="J1018" s="509"/>
      <c r="K1018" s="640"/>
      <c r="L1018" s="514"/>
      <c r="M1018" s="640"/>
      <c r="N1018" s="514"/>
      <c r="O1018" s="514"/>
    </row>
    <row r="1019" spans="3:15">
      <c r="C1019" s="505">
        <f>IF(D987="","-",+C1018+1)</f>
        <v>2040</v>
      </c>
      <c r="D1019" s="469">
        <f t="shared" si="61"/>
        <v>344263.76190476277</v>
      </c>
      <c r="E1019" s="511">
        <f t="shared" si="65"/>
        <v>20250.809523809523</v>
      </c>
      <c r="F1019" s="469">
        <f t="shared" si="60"/>
        <v>324012.95238095324</v>
      </c>
      <c r="G1019" s="935">
        <f t="shared" si="62"/>
        <v>70360.291655279041</v>
      </c>
      <c r="H1019" s="938">
        <f t="shared" si="63"/>
        <v>70360.291655279041</v>
      </c>
      <c r="I1019" s="509">
        <f t="shared" si="64"/>
        <v>0</v>
      </c>
      <c r="J1019" s="509"/>
      <c r="K1019" s="640"/>
      <c r="L1019" s="514"/>
      <c r="M1019" s="640"/>
      <c r="N1019" s="514"/>
      <c r="O1019" s="514"/>
    </row>
    <row r="1020" spans="3:15">
      <c r="C1020" s="505">
        <f>IF(D987="","-",+C1019+1)</f>
        <v>2041</v>
      </c>
      <c r="D1020" s="469">
        <f t="shared" si="61"/>
        <v>324012.95238095324</v>
      </c>
      <c r="E1020" s="511">
        <f t="shared" si="65"/>
        <v>20250.809523809523</v>
      </c>
      <c r="F1020" s="469">
        <f t="shared" si="60"/>
        <v>303762.14285714371</v>
      </c>
      <c r="G1020" s="935">
        <f t="shared" si="62"/>
        <v>67323.353344280898</v>
      </c>
      <c r="H1020" s="938">
        <f t="shared" si="63"/>
        <v>67323.353344280898</v>
      </c>
      <c r="I1020" s="509">
        <f t="shared" si="64"/>
        <v>0</v>
      </c>
      <c r="J1020" s="509"/>
      <c r="K1020" s="640"/>
      <c r="L1020" s="514"/>
      <c r="M1020" s="640"/>
      <c r="N1020" s="514"/>
      <c r="O1020" s="514"/>
    </row>
    <row r="1021" spans="3:15">
      <c r="C1021" s="505">
        <f>IF(D987="","-",+C1020+1)</f>
        <v>2042</v>
      </c>
      <c r="D1021" s="469">
        <f t="shared" si="61"/>
        <v>303762.14285714371</v>
      </c>
      <c r="E1021" s="511">
        <f t="shared" si="65"/>
        <v>20250.809523809523</v>
      </c>
      <c r="F1021" s="469">
        <f t="shared" si="60"/>
        <v>283511.33333333419</v>
      </c>
      <c r="G1021" s="936">
        <f t="shared" si="62"/>
        <v>64286.415033282741</v>
      </c>
      <c r="H1021" s="938">
        <f t="shared" si="63"/>
        <v>64286.415033282741</v>
      </c>
      <c r="I1021" s="509">
        <f t="shared" si="64"/>
        <v>0</v>
      </c>
      <c r="J1021" s="509"/>
      <c r="K1021" s="640"/>
      <c r="L1021" s="514"/>
      <c r="M1021" s="640"/>
      <c r="N1021" s="514"/>
      <c r="O1021" s="514"/>
    </row>
    <row r="1022" spans="3:15">
      <c r="C1022" s="505">
        <f>IF(D987="","-",+C1021+1)</f>
        <v>2043</v>
      </c>
      <c r="D1022" s="469">
        <f t="shared" si="61"/>
        <v>283511.33333333419</v>
      </c>
      <c r="E1022" s="511">
        <f t="shared" si="65"/>
        <v>20250.809523809523</v>
      </c>
      <c r="F1022" s="469">
        <f t="shared" si="60"/>
        <v>263260.52380952466</v>
      </c>
      <c r="G1022" s="935">
        <f t="shared" si="62"/>
        <v>61249.476722284613</v>
      </c>
      <c r="H1022" s="938">
        <f t="shared" si="63"/>
        <v>61249.476722284613</v>
      </c>
      <c r="I1022" s="509">
        <f t="shared" si="64"/>
        <v>0</v>
      </c>
      <c r="J1022" s="509"/>
      <c r="K1022" s="640"/>
      <c r="L1022" s="514"/>
      <c r="M1022" s="640"/>
      <c r="N1022" s="514"/>
      <c r="O1022" s="514"/>
    </row>
    <row r="1023" spans="3:15">
      <c r="C1023" s="505">
        <f>IF(D987="","-",+C1022+1)</f>
        <v>2044</v>
      </c>
      <c r="D1023" s="469">
        <f t="shared" si="61"/>
        <v>263260.52380952466</v>
      </c>
      <c r="E1023" s="511">
        <f t="shared" si="65"/>
        <v>20250.809523809523</v>
      </c>
      <c r="F1023" s="469">
        <f t="shared" si="60"/>
        <v>243009.71428571513</v>
      </c>
      <c r="G1023" s="935">
        <f t="shared" si="62"/>
        <v>58212.538411286456</v>
      </c>
      <c r="H1023" s="938">
        <f t="shared" si="63"/>
        <v>58212.538411286456</v>
      </c>
      <c r="I1023" s="509">
        <f t="shared" si="64"/>
        <v>0</v>
      </c>
      <c r="J1023" s="509"/>
      <c r="K1023" s="640"/>
      <c r="L1023" s="514"/>
      <c r="M1023" s="640"/>
      <c r="N1023" s="514"/>
      <c r="O1023" s="514"/>
    </row>
    <row r="1024" spans="3:15">
      <c r="C1024" s="505">
        <f>IF(D987="","-",+C1023+1)</f>
        <v>2045</v>
      </c>
      <c r="D1024" s="469">
        <f t="shared" si="61"/>
        <v>243009.71428571513</v>
      </c>
      <c r="E1024" s="511">
        <f t="shared" si="65"/>
        <v>20250.809523809523</v>
      </c>
      <c r="F1024" s="469">
        <f t="shared" si="60"/>
        <v>222758.90476190561</v>
      </c>
      <c r="G1024" s="935">
        <f t="shared" si="62"/>
        <v>55175.600100288313</v>
      </c>
      <c r="H1024" s="938">
        <f t="shared" si="63"/>
        <v>55175.600100288313</v>
      </c>
      <c r="I1024" s="509">
        <f t="shared" si="64"/>
        <v>0</v>
      </c>
      <c r="J1024" s="509"/>
      <c r="K1024" s="640"/>
      <c r="L1024" s="514"/>
      <c r="M1024" s="640"/>
      <c r="N1024" s="514"/>
      <c r="O1024" s="514"/>
    </row>
    <row r="1025" spans="3:15">
      <c r="C1025" s="505">
        <f>IF(D987="","-",+C1024+1)</f>
        <v>2046</v>
      </c>
      <c r="D1025" s="469">
        <f t="shared" si="61"/>
        <v>222758.90476190561</v>
      </c>
      <c r="E1025" s="511">
        <f t="shared" si="65"/>
        <v>20250.809523809523</v>
      </c>
      <c r="F1025" s="469">
        <f t="shared" si="60"/>
        <v>202508.09523809608</v>
      </c>
      <c r="G1025" s="935">
        <f t="shared" si="62"/>
        <v>52138.66178929017</v>
      </c>
      <c r="H1025" s="938">
        <f t="shared" si="63"/>
        <v>52138.66178929017</v>
      </c>
      <c r="I1025" s="509">
        <f t="shared" si="64"/>
        <v>0</v>
      </c>
      <c r="J1025" s="509"/>
      <c r="K1025" s="640"/>
      <c r="L1025" s="514"/>
      <c r="M1025" s="640"/>
      <c r="N1025" s="514"/>
      <c r="O1025" s="514"/>
    </row>
    <row r="1026" spans="3:15">
      <c r="C1026" s="505">
        <f>IF(D987="","-",+C1025+1)</f>
        <v>2047</v>
      </c>
      <c r="D1026" s="469">
        <f t="shared" si="61"/>
        <v>202508.09523809608</v>
      </c>
      <c r="E1026" s="511">
        <f t="shared" si="65"/>
        <v>20250.809523809523</v>
      </c>
      <c r="F1026" s="469">
        <f t="shared" si="60"/>
        <v>182257.28571428655</v>
      </c>
      <c r="G1026" s="935">
        <f t="shared" si="62"/>
        <v>49101.723478292028</v>
      </c>
      <c r="H1026" s="938">
        <f t="shared" si="63"/>
        <v>49101.723478292028</v>
      </c>
      <c r="I1026" s="509">
        <f t="shared" si="64"/>
        <v>0</v>
      </c>
      <c r="J1026" s="509"/>
      <c r="K1026" s="640"/>
      <c r="L1026" s="514"/>
      <c r="M1026" s="640"/>
      <c r="N1026" s="514"/>
      <c r="O1026" s="514"/>
    </row>
    <row r="1027" spans="3:15">
      <c r="C1027" s="505">
        <f>IF(D987="","-",+C1026+1)</f>
        <v>2048</v>
      </c>
      <c r="D1027" s="469">
        <f t="shared" si="61"/>
        <v>182257.28571428655</v>
      </c>
      <c r="E1027" s="511">
        <f t="shared" si="65"/>
        <v>20250.809523809523</v>
      </c>
      <c r="F1027" s="469">
        <f t="shared" si="60"/>
        <v>162006.47619047703</v>
      </c>
      <c r="G1027" s="935">
        <f t="shared" si="62"/>
        <v>46064.785167293885</v>
      </c>
      <c r="H1027" s="938">
        <f t="shared" si="63"/>
        <v>46064.785167293885</v>
      </c>
      <c r="I1027" s="509">
        <f t="shared" si="64"/>
        <v>0</v>
      </c>
      <c r="J1027" s="509"/>
      <c r="K1027" s="640"/>
      <c r="L1027" s="514"/>
      <c r="M1027" s="640"/>
      <c r="N1027" s="514"/>
      <c r="O1027" s="514"/>
    </row>
    <row r="1028" spans="3:15">
      <c r="C1028" s="505">
        <f>IF(D987="","-",+C1027+1)</f>
        <v>2049</v>
      </c>
      <c r="D1028" s="469">
        <f t="shared" si="61"/>
        <v>162006.47619047703</v>
      </c>
      <c r="E1028" s="511">
        <f t="shared" si="65"/>
        <v>20250.809523809523</v>
      </c>
      <c r="F1028" s="469">
        <f t="shared" si="60"/>
        <v>141755.6666666675</v>
      </c>
      <c r="G1028" s="935">
        <f t="shared" si="62"/>
        <v>43027.846856295735</v>
      </c>
      <c r="H1028" s="938">
        <f t="shared" si="63"/>
        <v>43027.846856295735</v>
      </c>
      <c r="I1028" s="509">
        <f t="shared" si="64"/>
        <v>0</v>
      </c>
      <c r="J1028" s="509"/>
      <c r="K1028" s="640"/>
      <c r="L1028" s="514"/>
      <c r="M1028" s="640"/>
      <c r="N1028" s="514"/>
      <c r="O1028" s="514"/>
    </row>
    <row r="1029" spans="3:15">
      <c r="C1029" s="505">
        <f>IF(D987="","-",+C1028+1)</f>
        <v>2050</v>
      </c>
      <c r="D1029" s="469">
        <f t="shared" si="61"/>
        <v>141755.6666666675</v>
      </c>
      <c r="E1029" s="511">
        <f t="shared" si="65"/>
        <v>20250.809523809523</v>
      </c>
      <c r="F1029" s="469">
        <f t="shared" si="60"/>
        <v>121504.85714285797</v>
      </c>
      <c r="G1029" s="935">
        <f t="shared" si="62"/>
        <v>39990.908545297585</v>
      </c>
      <c r="H1029" s="938">
        <f t="shared" si="63"/>
        <v>39990.908545297585</v>
      </c>
      <c r="I1029" s="509">
        <f t="shared" si="64"/>
        <v>0</v>
      </c>
      <c r="J1029" s="509"/>
      <c r="K1029" s="640"/>
      <c r="L1029" s="514"/>
      <c r="M1029" s="640"/>
      <c r="N1029" s="514"/>
      <c r="O1029" s="514"/>
    </row>
    <row r="1030" spans="3:15">
      <c r="C1030" s="505">
        <f>IF(D987="","-",+C1029+1)</f>
        <v>2051</v>
      </c>
      <c r="D1030" s="469">
        <f t="shared" si="61"/>
        <v>121504.85714285797</v>
      </c>
      <c r="E1030" s="511">
        <f t="shared" si="65"/>
        <v>20250.809523809523</v>
      </c>
      <c r="F1030" s="469">
        <f t="shared" si="60"/>
        <v>101254.04761904845</v>
      </c>
      <c r="G1030" s="935">
        <f t="shared" si="62"/>
        <v>36953.970234299442</v>
      </c>
      <c r="H1030" s="938">
        <f t="shared" si="63"/>
        <v>36953.970234299442</v>
      </c>
      <c r="I1030" s="509">
        <f t="shared" si="64"/>
        <v>0</v>
      </c>
      <c r="J1030" s="509"/>
      <c r="K1030" s="640"/>
      <c r="L1030" s="514"/>
      <c r="M1030" s="640"/>
      <c r="N1030" s="514"/>
      <c r="O1030" s="514"/>
    </row>
    <row r="1031" spans="3:15">
      <c r="C1031" s="505">
        <f>IF(D987="","-",+C1030+1)</f>
        <v>2052</v>
      </c>
      <c r="D1031" s="469">
        <f t="shared" si="61"/>
        <v>101254.04761904845</v>
      </c>
      <c r="E1031" s="511">
        <f t="shared" si="65"/>
        <v>20250.809523809523</v>
      </c>
      <c r="F1031" s="469">
        <f t="shared" si="60"/>
        <v>81003.238095238921</v>
      </c>
      <c r="G1031" s="935">
        <f t="shared" si="62"/>
        <v>33917.0319233013</v>
      </c>
      <c r="H1031" s="938">
        <f t="shared" si="63"/>
        <v>33917.0319233013</v>
      </c>
      <c r="I1031" s="509">
        <f t="shared" si="64"/>
        <v>0</v>
      </c>
      <c r="J1031" s="509"/>
      <c r="K1031" s="640"/>
      <c r="L1031" s="514"/>
      <c r="M1031" s="640"/>
      <c r="N1031" s="514"/>
      <c r="O1031" s="514"/>
    </row>
    <row r="1032" spans="3:15">
      <c r="C1032" s="505">
        <f>IF(D987="","-",+C1031+1)</f>
        <v>2053</v>
      </c>
      <c r="D1032" s="469">
        <f t="shared" si="61"/>
        <v>81003.238095238921</v>
      </c>
      <c r="E1032" s="511">
        <f t="shared" si="65"/>
        <v>20250.809523809523</v>
      </c>
      <c r="F1032" s="469">
        <f t="shared" si="60"/>
        <v>60752.428571429395</v>
      </c>
      <c r="G1032" s="935">
        <f t="shared" si="62"/>
        <v>30880.093612303153</v>
      </c>
      <c r="H1032" s="938">
        <f t="shared" si="63"/>
        <v>30880.093612303153</v>
      </c>
      <c r="I1032" s="509">
        <f t="shared" si="64"/>
        <v>0</v>
      </c>
      <c r="J1032" s="509"/>
      <c r="K1032" s="640"/>
      <c r="L1032" s="514"/>
      <c r="M1032" s="640"/>
      <c r="N1032" s="514"/>
      <c r="O1032" s="514"/>
    </row>
    <row r="1033" spans="3:15">
      <c r="C1033" s="505">
        <f>IF(D987="","-",+C1032+1)</f>
        <v>2054</v>
      </c>
      <c r="D1033" s="469">
        <f t="shared" si="61"/>
        <v>60752.428571429395</v>
      </c>
      <c r="E1033" s="511">
        <f t="shared" si="65"/>
        <v>20250.809523809523</v>
      </c>
      <c r="F1033" s="469">
        <f t="shared" si="60"/>
        <v>40501.619047619868</v>
      </c>
      <c r="G1033" s="935">
        <f t="shared" si="62"/>
        <v>27843.155301305007</v>
      </c>
      <c r="H1033" s="938">
        <f t="shared" si="63"/>
        <v>27843.155301305007</v>
      </c>
      <c r="I1033" s="509">
        <f t="shared" si="64"/>
        <v>0</v>
      </c>
      <c r="J1033" s="509"/>
      <c r="K1033" s="640"/>
      <c r="L1033" s="514"/>
      <c r="M1033" s="640"/>
      <c r="N1033" s="514"/>
      <c r="O1033" s="514"/>
    </row>
    <row r="1034" spans="3:15">
      <c r="C1034" s="505">
        <f>IF(D987="","-",+C1033+1)</f>
        <v>2055</v>
      </c>
      <c r="D1034" s="469">
        <f t="shared" si="61"/>
        <v>40501.619047619868</v>
      </c>
      <c r="E1034" s="511">
        <f t="shared" si="65"/>
        <v>20250.809523809523</v>
      </c>
      <c r="F1034" s="469">
        <f t="shared" si="60"/>
        <v>20250.809523810345</v>
      </c>
      <c r="G1034" s="935">
        <f t="shared" si="62"/>
        <v>24806.216990306864</v>
      </c>
      <c r="H1034" s="938">
        <f t="shared" si="63"/>
        <v>24806.216990306864</v>
      </c>
      <c r="I1034" s="509">
        <f t="shared" si="64"/>
        <v>0</v>
      </c>
      <c r="J1034" s="509"/>
      <c r="K1034" s="640"/>
      <c r="L1034" s="514"/>
      <c r="M1034" s="640"/>
      <c r="N1034" s="514"/>
      <c r="O1034" s="514"/>
    </row>
    <row r="1035" spans="3:15">
      <c r="C1035" s="505">
        <f>IF(D987="","-",+C1034+1)</f>
        <v>2056</v>
      </c>
      <c r="D1035" s="469">
        <f t="shared" si="61"/>
        <v>20250.809523810345</v>
      </c>
      <c r="E1035" s="511">
        <f t="shared" si="65"/>
        <v>20250.809523809523</v>
      </c>
      <c r="F1035" s="469">
        <f t="shared" si="60"/>
        <v>8.2218321040272713E-10</v>
      </c>
      <c r="G1035" s="935">
        <f t="shared" si="62"/>
        <v>21769.278679308718</v>
      </c>
      <c r="H1035" s="938">
        <f t="shared" si="63"/>
        <v>21769.278679308718</v>
      </c>
      <c r="I1035" s="509">
        <f t="shared" si="64"/>
        <v>0</v>
      </c>
      <c r="J1035" s="509"/>
      <c r="K1035" s="640"/>
      <c r="L1035" s="514"/>
      <c r="M1035" s="640"/>
      <c r="N1035" s="514"/>
      <c r="O1035" s="514"/>
    </row>
    <row r="1036" spans="3:15">
      <c r="C1036" s="505">
        <f>IF(D987="","-",+C1035+1)</f>
        <v>2057</v>
      </c>
      <c r="D1036" s="469">
        <f t="shared" si="61"/>
        <v>8.2218321040272713E-10</v>
      </c>
      <c r="E1036" s="511">
        <f t="shared" si="65"/>
        <v>8.2218321040272713E-10</v>
      </c>
      <c r="F1036" s="469">
        <f t="shared" si="60"/>
        <v>0</v>
      </c>
      <c r="G1036" s="935">
        <f t="shared" si="62"/>
        <v>8.8383308389039638E-10</v>
      </c>
      <c r="H1036" s="938">
        <f t="shared" si="63"/>
        <v>8.8383308389039638E-10</v>
      </c>
      <c r="I1036" s="509">
        <f t="shared" si="64"/>
        <v>0</v>
      </c>
      <c r="J1036" s="509"/>
      <c r="K1036" s="640"/>
      <c r="L1036" s="514"/>
      <c r="M1036" s="640"/>
      <c r="N1036" s="514"/>
      <c r="O1036" s="514"/>
    </row>
    <row r="1037" spans="3:15">
      <c r="C1037" s="505">
        <f>IF(D987="","-",+C1036+1)</f>
        <v>2058</v>
      </c>
      <c r="D1037" s="469">
        <f t="shared" si="61"/>
        <v>0</v>
      </c>
      <c r="E1037" s="511">
        <f t="shared" si="65"/>
        <v>0</v>
      </c>
      <c r="F1037" s="469">
        <f t="shared" si="60"/>
        <v>0</v>
      </c>
      <c r="G1037" s="935">
        <f t="shared" si="62"/>
        <v>0</v>
      </c>
      <c r="H1037" s="938">
        <f t="shared" si="63"/>
        <v>0</v>
      </c>
      <c r="I1037" s="509">
        <f t="shared" si="64"/>
        <v>0</v>
      </c>
      <c r="J1037" s="509"/>
      <c r="K1037" s="640"/>
      <c r="L1037" s="514"/>
      <c r="M1037" s="640"/>
      <c r="N1037" s="514"/>
      <c r="O1037" s="514"/>
    </row>
    <row r="1038" spans="3:15">
      <c r="C1038" s="505">
        <f>IF(D987="","-",+C1037+1)</f>
        <v>2059</v>
      </c>
      <c r="D1038" s="469">
        <f t="shared" si="61"/>
        <v>0</v>
      </c>
      <c r="E1038" s="511">
        <f t="shared" si="65"/>
        <v>0</v>
      </c>
      <c r="F1038" s="469">
        <f t="shared" si="60"/>
        <v>0</v>
      </c>
      <c r="G1038" s="935">
        <f t="shared" si="62"/>
        <v>0</v>
      </c>
      <c r="H1038" s="938">
        <f t="shared" si="63"/>
        <v>0</v>
      </c>
      <c r="I1038" s="509">
        <f t="shared" si="64"/>
        <v>0</v>
      </c>
      <c r="J1038" s="509"/>
      <c r="K1038" s="640"/>
      <c r="L1038" s="514"/>
      <c r="M1038" s="640"/>
      <c r="N1038" s="514"/>
      <c r="O1038" s="514"/>
    </row>
    <row r="1039" spans="3:15">
      <c r="C1039" s="505">
        <f>IF(D987="","-",+C1038+1)</f>
        <v>2060</v>
      </c>
      <c r="D1039" s="469">
        <f t="shared" si="61"/>
        <v>0</v>
      </c>
      <c r="E1039" s="511">
        <f t="shared" si="65"/>
        <v>0</v>
      </c>
      <c r="F1039" s="469">
        <f t="shared" si="60"/>
        <v>0</v>
      </c>
      <c r="G1039" s="935">
        <f t="shared" si="62"/>
        <v>0</v>
      </c>
      <c r="H1039" s="938">
        <f t="shared" si="63"/>
        <v>0</v>
      </c>
      <c r="I1039" s="509">
        <f t="shared" si="64"/>
        <v>0</v>
      </c>
      <c r="J1039" s="509"/>
      <c r="K1039" s="640"/>
      <c r="L1039" s="514"/>
      <c r="M1039" s="640"/>
      <c r="N1039" s="514"/>
      <c r="O1039" s="514"/>
    </row>
    <row r="1040" spans="3:15">
      <c r="C1040" s="505">
        <f>IF(D987="","-",+C1039+1)</f>
        <v>2061</v>
      </c>
      <c r="D1040" s="469">
        <f t="shared" si="61"/>
        <v>0</v>
      </c>
      <c r="E1040" s="511">
        <f t="shared" si="65"/>
        <v>0</v>
      </c>
      <c r="F1040" s="469">
        <f t="shared" si="60"/>
        <v>0</v>
      </c>
      <c r="G1040" s="935">
        <f t="shared" si="62"/>
        <v>0</v>
      </c>
      <c r="H1040" s="938">
        <f t="shared" si="63"/>
        <v>0</v>
      </c>
      <c r="I1040" s="509">
        <f t="shared" si="64"/>
        <v>0</v>
      </c>
      <c r="J1040" s="509"/>
      <c r="K1040" s="640"/>
      <c r="L1040" s="514"/>
      <c r="M1040" s="640"/>
      <c r="N1040" s="514"/>
      <c r="O1040" s="514"/>
    </row>
    <row r="1041" spans="3:15">
      <c r="C1041" s="505">
        <f>IF(D987="","-",+C1040+1)</f>
        <v>2062</v>
      </c>
      <c r="D1041" s="469">
        <f t="shared" si="61"/>
        <v>0</v>
      </c>
      <c r="E1041" s="511">
        <f t="shared" si="65"/>
        <v>0</v>
      </c>
      <c r="F1041" s="469">
        <f t="shared" si="60"/>
        <v>0</v>
      </c>
      <c r="G1041" s="935">
        <f t="shared" si="62"/>
        <v>0</v>
      </c>
      <c r="H1041" s="938">
        <f t="shared" si="63"/>
        <v>0</v>
      </c>
      <c r="I1041" s="509">
        <f t="shared" si="64"/>
        <v>0</v>
      </c>
      <c r="J1041" s="509"/>
      <c r="K1041" s="640"/>
      <c r="L1041" s="514"/>
      <c r="M1041" s="640"/>
      <c r="N1041" s="514"/>
      <c r="O1041" s="514"/>
    </row>
    <row r="1042" spans="3:15">
      <c r="C1042" s="505">
        <f>IF(D987="","-",+C1041+1)</f>
        <v>2063</v>
      </c>
      <c r="D1042" s="469">
        <f t="shared" si="61"/>
        <v>0</v>
      </c>
      <c r="E1042" s="511">
        <f t="shared" si="65"/>
        <v>0</v>
      </c>
      <c r="F1042" s="469">
        <f t="shared" si="60"/>
        <v>0</v>
      </c>
      <c r="G1042" s="935">
        <f t="shared" si="62"/>
        <v>0</v>
      </c>
      <c r="H1042" s="938">
        <f t="shared" si="63"/>
        <v>0</v>
      </c>
      <c r="I1042" s="509">
        <f t="shared" si="64"/>
        <v>0</v>
      </c>
      <c r="J1042" s="509"/>
      <c r="K1042" s="640"/>
      <c r="L1042" s="514"/>
      <c r="M1042" s="640"/>
      <c r="N1042" s="514"/>
      <c r="O1042" s="514"/>
    </row>
    <row r="1043" spans="3:15">
      <c r="C1043" s="505">
        <f>IF(D987="","-",+C1042+1)</f>
        <v>2064</v>
      </c>
      <c r="D1043" s="469">
        <f t="shared" si="61"/>
        <v>0</v>
      </c>
      <c r="E1043" s="511">
        <f t="shared" si="65"/>
        <v>0</v>
      </c>
      <c r="F1043" s="469">
        <f t="shared" si="60"/>
        <v>0</v>
      </c>
      <c r="G1043" s="935">
        <f t="shared" si="62"/>
        <v>0</v>
      </c>
      <c r="H1043" s="938">
        <f t="shared" si="63"/>
        <v>0</v>
      </c>
      <c r="I1043" s="509">
        <f t="shared" si="64"/>
        <v>0</v>
      </c>
      <c r="J1043" s="509"/>
      <c r="K1043" s="640"/>
      <c r="L1043" s="514"/>
      <c r="M1043" s="640"/>
      <c r="N1043" s="514"/>
      <c r="O1043" s="514"/>
    </row>
    <row r="1044" spans="3:15">
      <c r="C1044" s="505">
        <f>IF(D987="","-",+C1043+1)</f>
        <v>2065</v>
      </c>
      <c r="D1044" s="469">
        <f t="shared" si="61"/>
        <v>0</v>
      </c>
      <c r="E1044" s="511">
        <f t="shared" si="65"/>
        <v>0</v>
      </c>
      <c r="F1044" s="469">
        <f t="shared" si="60"/>
        <v>0</v>
      </c>
      <c r="G1044" s="935">
        <f t="shared" si="62"/>
        <v>0</v>
      </c>
      <c r="H1044" s="938">
        <f t="shared" si="63"/>
        <v>0</v>
      </c>
      <c r="I1044" s="509">
        <f t="shared" si="64"/>
        <v>0</v>
      </c>
      <c r="J1044" s="509"/>
      <c r="K1044" s="640"/>
      <c r="L1044" s="514"/>
      <c r="M1044" s="640"/>
      <c r="N1044" s="514"/>
      <c r="O1044" s="514"/>
    </row>
    <row r="1045" spans="3:15">
      <c r="C1045" s="505">
        <f>IF(D987="","-",+C1044+1)</f>
        <v>2066</v>
      </c>
      <c r="D1045" s="469">
        <f t="shared" si="61"/>
        <v>0</v>
      </c>
      <c r="E1045" s="511">
        <f t="shared" si="65"/>
        <v>0</v>
      </c>
      <c r="F1045" s="469">
        <f t="shared" si="60"/>
        <v>0</v>
      </c>
      <c r="G1045" s="935">
        <f t="shared" si="62"/>
        <v>0</v>
      </c>
      <c r="H1045" s="938">
        <f t="shared" si="63"/>
        <v>0</v>
      </c>
      <c r="I1045" s="509">
        <f t="shared" si="64"/>
        <v>0</v>
      </c>
      <c r="J1045" s="509"/>
      <c r="K1045" s="640"/>
      <c r="L1045" s="514"/>
      <c r="M1045" s="640"/>
      <c r="N1045" s="514"/>
      <c r="O1045" s="514"/>
    </row>
    <row r="1046" spans="3:15">
      <c r="C1046" s="505">
        <f>IF(D987="","-",+C1045+1)</f>
        <v>2067</v>
      </c>
      <c r="D1046" s="469">
        <f t="shared" si="61"/>
        <v>0</v>
      </c>
      <c r="E1046" s="511">
        <f t="shared" si="65"/>
        <v>0</v>
      </c>
      <c r="F1046" s="469">
        <f t="shared" si="60"/>
        <v>0</v>
      </c>
      <c r="G1046" s="935">
        <f t="shared" si="62"/>
        <v>0</v>
      </c>
      <c r="H1046" s="938">
        <f t="shared" si="63"/>
        <v>0</v>
      </c>
      <c r="I1046" s="509">
        <f t="shared" si="64"/>
        <v>0</v>
      </c>
      <c r="J1046" s="509"/>
      <c r="K1046" s="640"/>
      <c r="L1046" s="514"/>
      <c r="M1046" s="640"/>
      <c r="N1046" s="514"/>
      <c r="O1046" s="514"/>
    </row>
    <row r="1047" spans="3:15">
      <c r="C1047" s="505">
        <f>IF(D987="","-",+C1046+1)</f>
        <v>2068</v>
      </c>
      <c r="D1047" s="469">
        <f t="shared" si="61"/>
        <v>0</v>
      </c>
      <c r="E1047" s="511">
        <f t="shared" si="65"/>
        <v>0</v>
      </c>
      <c r="F1047" s="469">
        <f t="shared" si="60"/>
        <v>0</v>
      </c>
      <c r="G1047" s="935">
        <f t="shared" si="62"/>
        <v>0</v>
      </c>
      <c r="H1047" s="938">
        <f t="shared" si="63"/>
        <v>0</v>
      </c>
      <c r="I1047" s="509">
        <f t="shared" si="64"/>
        <v>0</v>
      </c>
      <c r="J1047" s="509"/>
      <c r="K1047" s="640"/>
      <c r="L1047" s="514"/>
      <c r="M1047" s="640"/>
      <c r="N1047" s="514"/>
      <c r="O1047" s="514"/>
    </row>
    <row r="1048" spans="3:15">
      <c r="C1048" s="505">
        <f>IF(D987="","-",+C1047+1)</f>
        <v>2069</v>
      </c>
      <c r="D1048" s="469">
        <f t="shared" si="61"/>
        <v>0</v>
      </c>
      <c r="E1048" s="511">
        <f t="shared" si="65"/>
        <v>0</v>
      </c>
      <c r="F1048" s="469">
        <f t="shared" si="60"/>
        <v>0</v>
      </c>
      <c r="G1048" s="935">
        <f t="shared" si="62"/>
        <v>0</v>
      </c>
      <c r="H1048" s="938">
        <f t="shared" si="63"/>
        <v>0</v>
      </c>
      <c r="I1048" s="509">
        <f t="shared" si="64"/>
        <v>0</v>
      </c>
      <c r="J1048" s="509"/>
      <c r="K1048" s="640"/>
      <c r="L1048" s="514"/>
      <c r="M1048" s="640"/>
      <c r="N1048" s="514"/>
      <c r="O1048" s="514"/>
    </row>
    <row r="1049" spans="3:15">
      <c r="C1049" s="505">
        <f>IF(D987="","-",+C1048+1)</f>
        <v>2070</v>
      </c>
      <c r="D1049" s="469">
        <f t="shared" si="61"/>
        <v>0</v>
      </c>
      <c r="E1049" s="511">
        <f t="shared" si="65"/>
        <v>0</v>
      </c>
      <c r="F1049" s="469">
        <f t="shared" si="60"/>
        <v>0</v>
      </c>
      <c r="G1049" s="935">
        <f t="shared" si="62"/>
        <v>0</v>
      </c>
      <c r="H1049" s="938">
        <f t="shared" si="63"/>
        <v>0</v>
      </c>
      <c r="I1049" s="509">
        <f t="shared" si="64"/>
        <v>0</v>
      </c>
      <c r="J1049" s="509"/>
      <c r="K1049" s="640"/>
      <c r="L1049" s="514"/>
      <c r="M1049" s="640"/>
      <c r="N1049" s="514"/>
      <c r="O1049" s="514"/>
    </row>
    <row r="1050" spans="3:15">
      <c r="C1050" s="505">
        <f>IF(D987="","-",+C1049+1)</f>
        <v>2071</v>
      </c>
      <c r="D1050" s="469">
        <f t="shared" si="61"/>
        <v>0</v>
      </c>
      <c r="E1050" s="511">
        <f t="shared" si="65"/>
        <v>0</v>
      </c>
      <c r="F1050" s="469">
        <f t="shared" si="60"/>
        <v>0</v>
      </c>
      <c r="G1050" s="935">
        <f t="shared" si="62"/>
        <v>0</v>
      </c>
      <c r="H1050" s="938">
        <f t="shared" si="63"/>
        <v>0</v>
      </c>
      <c r="I1050" s="509">
        <f t="shared" si="64"/>
        <v>0</v>
      </c>
      <c r="J1050" s="509"/>
      <c r="K1050" s="640"/>
      <c r="L1050" s="514"/>
      <c r="M1050" s="640"/>
      <c r="N1050" s="514"/>
      <c r="O1050" s="514"/>
    </row>
    <row r="1051" spans="3:15">
      <c r="C1051" s="505">
        <f>IF(D987="","-",+C1050+1)</f>
        <v>2072</v>
      </c>
      <c r="D1051" s="469">
        <f t="shared" si="61"/>
        <v>0</v>
      </c>
      <c r="E1051" s="511">
        <f t="shared" si="65"/>
        <v>0</v>
      </c>
      <c r="F1051" s="469">
        <f t="shared" si="60"/>
        <v>0</v>
      </c>
      <c r="G1051" s="935">
        <f t="shared" si="62"/>
        <v>0</v>
      </c>
      <c r="H1051" s="938">
        <f t="shared" si="63"/>
        <v>0</v>
      </c>
      <c r="I1051" s="509">
        <f t="shared" si="64"/>
        <v>0</v>
      </c>
      <c r="J1051" s="509"/>
      <c r="K1051" s="640"/>
      <c r="L1051" s="514"/>
      <c r="M1051" s="640"/>
      <c r="N1051" s="514"/>
      <c r="O1051" s="514"/>
    </row>
    <row r="1052" spans="3:15" ht="13.5" thickBot="1">
      <c r="C1052" s="515">
        <f>IF(D987="","-",+C1051+1)</f>
        <v>2073</v>
      </c>
      <c r="D1052" s="516">
        <f t="shared" si="61"/>
        <v>0</v>
      </c>
      <c r="E1052" s="517">
        <f t="shared" si="65"/>
        <v>0</v>
      </c>
      <c r="F1052" s="516">
        <f t="shared" si="60"/>
        <v>0</v>
      </c>
      <c r="G1052" s="946">
        <f t="shared" si="62"/>
        <v>0</v>
      </c>
      <c r="H1052" s="946">
        <f t="shared" si="63"/>
        <v>0</v>
      </c>
      <c r="I1052" s="519">
        <f t="shared" si="64"/>
        <v>0</v>
      </c>
      <c r="J1052" s="509"/>
      <c r="K1052" s="641"/>
      <c r="L1052" s="521"/>
      <c r="M1052" s="641"/>
      <c r="N1052" s="521"/>
      <c r="O1052" s="521"/>
    </row>
    <row r="1053" spans="3:15">
      <c r="C1053" s="469" t="s">
        <v>288</v>
      </c>
      <c r="D1053" s="915"/>
      <c r="E1053" s="469"/>
      <c r="F1053" s="915"/>
      <c r="G1053" s="915">
        <f>SUM(G993:G1052)</f>
        <v>3656664.9993622922</v>
      </c>
      <c r="H1053" s="915">
        <f>SUM(H993:H1052)</f>
        <v>3656664.9993622922</v>
      </c>
      <c r="I1053" s="915">
        <f>SUM(I993:I1052)</f>
        <v>0</v>
      </c>
      <c r="J1053" s="915"/>
      <c r="K1053" s="915"/>
      <c r="L1053" s="915"/>
      <c r="M1053" s="915"/>
      <c r="N1053" s="915"/>
      <c r="O1053" s="4"/>
    </row>
    <row r="1054" spans="3:15">
      <c r="D1054" s="79"/>
      <c r="E1054" s="4"/>
      <c r="F1054" s="4"/>
      <c r="G1054" s="4"/>
      <c r="H1054" s="914"/>
      <c r="I1054" s="914"/>
      <c r="J1054" s="915"/>
      <c r="K1054" s="914"/>
      <c r="L1054" s="914"/>
      <c r="M1054" s="914"/>
      <c r="N1054" s="914"/>
      <c r="O1054" s="4"/>
    </row>
    <row r="1055" spans="3:15">
      <c r="C1055" s="4" t="s">
        <v>595</v>
      </c>
      <c r="D1055" s="79"/>
      <c r="E1055" s="4"/>
      <c r="F1055" s="4"/>
      <c r="G1055" s="4"/>
      <c r="H1055" s="914"/>
      <c r="I1055" s="914"/>
      <c r="J1055" s="915"/>
      <c r="K1055" s="914"/>
      <c r="L1055" s="914"/>
      <c r="M1055" s="914"/>
      <c r="N1055" s="914"/>
      <c r="O1055" s="4"/>
    </row>
    <row r="1056" spans="3:15">
      <c r="C1056" s="4"/>
      <c r="D1056" s="79"/>
      <c r="E1056" s="4"/>
      <c r="F1056" s="4"/>
      <c r="G1056" s="4"/>
      <c r="H1056" s="914"/>
      <c r="I1056" s="914"/>
      <c r="J1056" s="915"/>
      <c r="K1056" s="914"/>
      <c r="L1056" s="914"/>
      <c r="M1056" s="914"/>
      <c r="N1056" s="914"/>
      <c r="O1056" s="4"/>
    </row>
    <row r="1057" spans="1:16">
      <c r="C1057" s="479" t="s">
        <v>924</v>
      </c>
      <c r="D1057" s="469"/>
      <c r="E1057" s="469"/>
      <c r="F1057" s="469"/>
      <c r="G1057" s="915"/>
      <c r="H1057" s="915"/>
      <c r="I1057" s="471"/>
      <c r="J1057" s="471"/>
      <c r="K1057" s="471"/>
      <c r="L1057" s="471"/>
      <c r="M1057" s="471"/>
      <c r="N1057" s="471"/>
      <c r="O1057" s="4"/>
    </row>
    <row r="1058" spans="1:16">
      <c r="C1058" s="479" t="s">
        <v>476</v>
      </c>
      <c r="D1058" s="469"/>
      <c r="E1058" s="469"/>
      <c r="F1058" s="469"/>
      <c r="G1058" s="915"/>
      <c r="H1058" s="915"/>
      <c r="I1058" s="471"/>
      <c r="J1058" s="471"/>
      <c r="K1058" s="471"/>
      <c r="L1058" s="471"/>
      <c r="M1058" s="471"/>
      <c r="N1058" s="471"/>
      <c r="O1058" s="4"/>
    </row>
    <row r="1059" spans="1:16">
      <c r="C1059" s="470" t="s">
        <v>289</v>
      </c>
      <c r="D1059" s="469"/>
      <c r="E1059" s="469"/>
      <c r="F1059" s="469"/>
      <c r="G1059" s="915"/>
      <c r="H1059" s="915"/>
      <c r="I1059" s="471"/>
      <c r="J1059" s="471"/>
      <c r="K1059" s="471"/>
      <c r="L1059" s="471"/>
      <c r="M1059" s="471"/>
      <c r="N1059" s="471"/>
      <c r="O1059" s="4"/>
    </row>
    <row r="1060" spans="1:16">
      <c r="C1060" s="470"/>
      <c r="D1060" s="469"/>
      <c r="E1060" s="469"/>
      <c r="F1060" s="469"/>
      <c r="G1060" s="915"/>
      <c r="H1060" s="915"/>
      <c r="I1060" s="471"/>
      <c r="J1060" s="471"/>
      <c r="K1060" s="471"/>
      <c r="L1060" s="471"/>
      <c r="M1060" s="471"/>
      <c r="N1060" s="471"/>
      <c r="O1060" s="4"/>
    </row>
    <row r="1061" spans="1:16">
      <c r="C1061" s="1275" t="s">
        <v>460</v>
      </c>
      <c r="D1061" s="1275"/>
      <c r="E1061" s="1275"/>
      <c r="F1061" s="1275"/>
      <c r="G1061" s="1275"/>
      <c r="H1061" s="1275"/>
      <c r="I1061" s="1275"/>
      <c r="J1061" s="1275"/>
      <c r="K1061" s="1275"/>
      <c r="L1061" s="1275"/>
      <c r="M1061" s="1275"/>
      <c r="N1061" s="1275"/>
      <c r="O1061" s="1275"/>
    </row>
    <row r="1062" spans="1:16">
      <c r="C1062" s="1275"/>
      <c r="D1062" s="1275"/>
      <c r="E1062" s="1275"/>
      <c r="F1062" s="1275"/>
      <c r="G1062" s="1275"/>
      <c r="H1062" s="1275"/>
      <c r="I1062" s="1275"/>
      <c r="J1062" s="1275"/>
      <c r="K1062" s="1275"/>
      <c r="L1062" s="1275"/>
      <c r="M1062" s="1275"/>
      <c r="N1062" s="1275"/>
      <c r="O1062" s="1275"/>
    </row>
    <row r="1063" spans="1:16" ht="20.25">
      <c r="A1063" s="411" t="s">
        <v>921</v>
      </c>
      <c r="B1063" s="4"/>
      <c r="C1063" s="4"/>
      <c r="D1063" s="79"/>
      <c r="E1063" s="4"/>
      <c r="F1063" s="81"/>
      <c r="G1063" s="4"/>
      <c r="H1063" s="914"/>
      <c r="K1063" s="11"/>
      <c r="L1063" s="11"/>
      <c r="M1063" s="11"/>
      <c r="N1063" s="11" t="str">
        <f>"Page "&amp;SUM(P$6:P1063)&amp;" of "</f>
        <v xml:space="preserve">Page 12 of </v>
      </c>
      <c r="O1063" s="412">
        <f>COUNT(P$6:P$59579)</f>
        <v>22</v>
      </c>
      <c r="P1063" s="4">
        <v>1</v>
      </c>
    </row>
    <row r="1064" spans="1:16">
      <c r="B1064" s="4"/>
      <c r="C1064" s="4"/>
      <c r="D1064" s="79"/>
      <c r="E1064" s="4"/>
      <c r="F1064" s="4"/>
      <c r="G1064" s="4"/>
      <c r="H1064" s="914"/>
      <c r="I1064" s="4"/>
      <c r="J1064" s="4"/>
      <c r="K1064" s="4"/>
      <c r="L1064" s="4"/>
      <c r="M1064" s="4"/>
      <c r="N1064" s="4"/>
      <c r="O1064" s="4"/>
    </row>
    <row r="1065" spans="1:16" ht="18">
      <c r="B1065" s="413" t="s">
        <v>174</v>
      </c>
      <c r="C1065" s="472" t="s">
        <v>290</v>
      </c>
      <c r="D1065" s="79"/>
      <c r="E1065" s="4"/>
      <c r="F1065" s="4"/>
      <c r="G1065" s="4"/>
      <c r="H1065" s="914"/>
      <c r="I1065" s="914"/>
      <c r="J1065" s="915"/>
      <c r="K1065" s="914"/>
      <c r="L1065" s="914"/>
      <c r="M1065" s="914"/>
      <c r="N1065" s="914"/>
      <c r="O1065" s="4"/>
    </row>
    <row r="1066" spans="1:16" ht="18.75">
      <c r="B1066" s="413"/>
      <c r="C1066" s="13"/>
      <c r="D1066" s="79"/>
      <c r="E1066" s="4"/>
      <c r="F1066" s="4"/>
      <c r="G1066" s="4"/>
      <c r="H1066" s="914"/>
      <c r="I1066" s="914"/>
      <c r="J1066" s="915"/>
      <c r="K1066" s="914"/>
      <c r="L1066" s="914"/>
      <c r="M1066" s="914"/>
      <c r="N1066" s="914"/>
      <c r="O1066" s="4"/>
    </row>
    <row r="1067" spans="1:16" ht="18.75">
      <c r="B1067" s="413"/>
      <c r="C1067" s="13" t="s">
        <v>291</v>
      </c>
      <c r="D1067" s="79"/>
      <c r="E1067" s="4"/>
      <c r="F1067" s="4"/>
      <c r="G1067" s="4"/>
      <c r="H1067" s="914"/>
      <c r="I1067" s="914"/>
      <c r="J1067" s="915"/>
      <c r="K1067" s="914"/>
      <c r="L1067" s="914"/>
      <c r="M1067" s="914"/>
      <c r="N1067" s="914"/>
      <c r="O1067" s="4"/>
    </row>
    <row r="1068" spans="1:16" ht="15.75" thickBot="1">
      <c r="C1068" s="247"/>
      <c r="D1068" s="79"/>
      <c r="E1068" s="4"/>
      <c r="F1068" s="4"/>
      <c r="G1068" s="4"/>
      <c r="H1068" s="914"/>
      <c r="I1068" s="914"/>
      <c r="J1068" s="915"/>
      <c r="K1068" s="914"/>
      <c r="L1068" s="914"/>
      <c r="M1068" s="914"/>
      <c r="N1068" s="914"/>
      <c r="O1068" s="4"/>
    </row>
    <row r="1069" spans="1:16" ht="15.75">
      <c r="C1069" s="414" t="s">
        <v>292</v>
      </c>
      <c r="D1069" s="79"/>
      <c r="E1069" s="4"/>
      <c r="F1069" s="4"/>
      <c r="G1069" s="948"/>
      <c r="H1069" s="4" t="s">
        <v>271</v>
      </c>
      <c r="I1069" s="4"/>
      <c r="J1069" s="4"/>
      <c r="K1069" s="473" t="s">
        <v>296</v>
      </c>
      <c r="L1069" s="474"/>
      <c r="M1069" s="475"/>
      <c r="N1069" s="917">
        <f>VLOOKUP(I1075,C1082:O1141,5)</f>
        <v>1160617.9627852265</v>
      </c>
      <c r="O1069" s="4"/>
    </row>
    <row r="1070" spans="1:16" ht="15.75">
      <c r="C1070" s="414"/>
      <c r="D1070" s="79"/>
      <c r="E1070" s="4"/>
      <c r="F1070" s="4"/>
      <c r="G1070" s="4"/>
      <c r="H1070" s="918"/>
      <c r="I1070" s="918"/>
      <c r="J1070" s="919"/>
      <c r="K1070" s="478" t="s">
        <v>297</v>
      </c>
      <c r="L1070" s="920"/>
      <c r="M1070" s="4"/>
      <c r="N1070" s="921">
        <f>VLOOKUP(I1075,C1082:O1141,6)</f>
        <v>1160617.9627852265</v>
      </c>
      <c r="O1070" s="4"/>
    </row>
    <row r="1071" spans="1:16" ht="13.5" thickBot="1">
      <c r="C1071" s="479" t="s">
        <v>293</v>
      </c>
      <c r="D1071" s="1276" t="s">
        <v>935</v>
      </c>
      <c r="E1071" s="1276"/>
      <c r="F1071" s="1276"/>
      <c r="G1071" s="1276"/>
      <c r="H1071" s="1276"/>
      <c r="I1071" s="1276"/>
      <c r="J1071" s="915"/>
      <c r="K1071" s="922" t="s">
        <v>450</v>
      </c>
      <c r="L1071" s="923"/>
      <c r="M1071" s="923"/>
      <c r="N1071" s="924">
        <f>+N1070-N1069</f>
        <v>0</v>
      </c>
      <c r="O1071" s="4"/>
    </row>
    <row r="1072" spans="1:16">
      <c r="C1072" s="481"/>
      <c r="D1072" s="482"/>
      <c r="E1072" s="469"/>
      <c r="F1072" s="469"/>
      <c r="G1072" s="483"/>
      <c r="H1072" s="914"/>
      <c r="I1072" s="914"/>
      <c r="J1072" s="915"/>
      <c r="K1072" s="914"/>
      <c r="L1072" s="914"/>
      <c r="M1072" s="914"/>
      <c r="N1072" s="914"/>
      <c r="O1072" s="4"/>
    </row>
    <row r="1073" spans="1:15" ht="13.5" thickBot="1">
      <c r="C1073" s="481"/>
      <c r="D1073" s="925"/>
      <c r="E1073" s="483"/>
      <c r="F1073" s="483"/>
      <c r="G1073" s="483"/>
      <c r="H1073" s="483"/>
      <c r="I1073" s="483"/>
      <c r="J1073" s="483"/>
      <c r="K1073" s="483"/>
      <c r="L1073" s="483"/>
      <c r="M1073" s="483"/>
      <c r="N1073" s="483"/>
      <c r="O1073" s="4"/>
    </row>
    <row r="1074" spans="1:15" ht="13.5" thickBot="1">
      <c r="C1074" s="484" t="s">
        <v>294</v>
      </c>
      <c r="D1074" s="485"/>
      <c r="E1074" s="485"/>
      <c r="F1074" s="485"/>
      <c r="G1074" s="485"/>
      <c r="H1074" s="485"/>
      <c r="I1074" s="486"/>
      <c r="K1074" s="4"/>
      <c r="L1074" s="4"/>
      <c r="M1074" s="4"/>
      <c r="N1074" s="4"/>
      <c r="O1074" s="4"/>
    </row>
    <row r="1075" spans="1:15" ht="15">
      <c r="C1075" s="487" t="s">
        <v>272</v>
      </c>
      <c r="D1075" s="926">
        <v>7169898</v>
      </c>
      <c r="E1075" s="4" t="s">
        <v>273</v>
      </c>
      <c r="G1075" s="79"/>
      <c r="H1075" s="79"/>
      <c r="I1075" s="488">
        <v>2018</v>
      </c>
      <c r="J1075" s="135"/>
      <c r="K1075" s="1277" t="s">
        <v>459</v>
      </c>
      <c r="L1075" s="1277"/>
      <c r="M1075" s="1277"/>
      <c r="N1075" s="1277"/>
      <c r="O1075" s="1277"/>
    </row>
    <row r="1076" spans="1:15">
      <c r="C1076" s="487" t="s">
        <v>275</v>
      </c>
      <c r="D1076" s="636">
        <v>2015</v>
      </c>
      <c r="E1076" s="487" t="s">
        <v>276</v>
      </c>
      <c r="F1076" s="79"/>
      <c r="H1076"/>
      <c r="I1076" s="927">
        <f>IF(G1069="",0,$F$15)</f>
        <v>0</v>
      </c>
      <c r="J1076" s="489"/>
      <c r="K1076" s="915" t="s">
        <v>459</v>
      </c>
    </row>
    <row r="1077" spans="1:15">
      <c r="C1077" s="487" t="s">
        <v>277</v>
      </c>
      <c r="D1077" s="926">
        <v>2</v>
      </c>
      <c r="E1077" s="487" t="s">
        <v>278</v>
      </c>
      <c r="F1077" s="79"/>
      <c r="H1077"/>
      <c r="I1077" s="490">
        <f>$G$70</f>
        <v>0.14996626714737105</v>
      </c>
      <c r="J1077" s="81"/>
      <c r="K1077" t="str">
        <f>"          INPUT PROJECTED ARR (WITH &amp; WITHOUT INCENTIVES) FROM EACH PRIOR YEAR"</f>
        <v xml:space="preserve">          INPUT PROJECTED ARR (WITH &amp; WITHOUT INCENTIVES) FROM EACH PRIOR YEAR</v>
      </c>
    </row>
    <row r="1078" spans="1:15">
      <c r="C1078" s="487" t="s">
        <v>279</v>
      </c>
      <c r="D1078" s="491">
        <f>G$79</f>
        <v>42</v>
      </c>
      <c r="E1078" s="487" t="s">
        <v>280</v>
      </c>
      <c r="F1078" s="79"/>
      <c r="H1078"/>
      <c r="I1078" s="490">
        <f>IF(G1069="",I1077,$G$67)</f>
        <v>0.14996626714737105</v>
      </c>
      <c r="J1078" s="81"/>
      <c r="K1078" t="s">
        <v>357</v>
      </c>
    </row>
    <row r="1079" spans="1:15" ht="13.5" thickBot="1">
      <c r="C1079" s="487" t="s">
        <v>281</v>
      </c>
      <c r="D1079" s="637" t="s">
        <v>923</v>
      </c>
      <c r="E1079" s="492" t="s">
        <v>282</v>
      </c>
      <c r="F1079" s="493"/>
      <c r="G1079" s="494"/>
      <c r="H1079" s="494"/>
      <c r="I1079" s="924">
        <f>IF(D1075=0,0,D1075/D1078)</f>
        <v>170711.85714285713</v>
      </c>
      <c r="J1079" s="915"/>
      <c r="K1079" s="915" t="s">
        <v>363</v>
      </c>
      <c r="L1079" s="915"/>
      <c r="M1079" s="915"/>
      <c r="N1079" s="915"/>
      <c r="O1079" s="4"/>
    </row>
    <row r="1080" spans="1:15" ht="51">
      <c r="A1080" s="12"/>
      <c r="B1080" s="12"/>
      <c r="C1080" s="495" t="s">
        <v>272</v>
      </c>
      <c r="D1080" s="928" t="s">
        <v>283</v>
      </c>
      <c r="E1080" s="929" t="s">
        <v>284</v>
      </c>
      <c r="F1080" s="928" t="s">
        <v>285</v>
      </c>
      <c r="G1080" s="929" t="s">
        <v>356</v>
      </c>
      <c r="H1080" s="930" t="s">
        <v>356</v>
      </c>
      <c r="I1080" s="495" t="s">
        <v>295</v>
      </c>
      <c r="J1080" s="499"/>
      <c r="K1080" s="929" t="s">
        <v>365</v>
      </c>
      <c r="L1080" s="931"/>
      <c r="M1080" s="929" t="s">
        <v>365</v>
      </c>
      <c r="N1080" s="931"/>
      <c r="O1080" s="931"/>
    </row>
    <row r="1081" spans="1:15" ht="13.5" thickBot="1">
      <c r="C1081" s="500" t="s">
        <v>177</v>
      </c>
      <c r="D1081" s="501" t="s">
        <v>178</v>
      </c>
      <c r="E1081" s="500" t="s">
        <v>37</v>
      </c>
      <c r="F1081" s="501" t="s">
        <v>178</v>
      </c>
      <c r="G1081" s="932" t="s">
        <v>298</v>
      </c>
      <c r="H1081" s="933" t="s">
        <v>300</v>
      </c>
      <c r="I1081" s="500" t="s">
        <v>389</v>
      </c>
      <c r="J1081" s="504"/>
      <c r="K1081" s="932" t="s">
        <v>287</v>
      </c>
      <c r="L1081" s="934"/>
      <c r="M1081" s="932" t="s">
        <v>300</v>
      </c>
      <c r="N1081" s="934"/>
      <c r="O1081" s="934"/>
    </row>
    <row r="1082" spans="1:15">
      <c r="C1082" s="505">
        <f>IF(D1076= "","-",D1076)</f>
        <v>2015</v>
      </c>
      <c r="D1082" s="469">
        <f>+D1075</f>
        <v>7169898</v>
      </c>
      <c r="E1082" s="935">
        <f>+I1079/12*(12-D1077)</f>
        <v>142259.88095238095</v>
      </c>
      <c r="F1082" s="469">
        <f t="shared" ref="F1082:F1141" si="66">+D1082-E1082</f>
        <v>7027638.1190476194</v>
      </c>
      <c r="G1082" s="936">
        <f>+$I$1077*((D1082+F1082)/2)+E1082</f>
        <v>1206835.6281841532</v>
      </c>
      <c r="H1082" s="937">
        <f>$I$1078*((D1082+F1082)/2)+E1082</f>
        <v>1206835.6281841532</v>
      </c>
      <c r="I1082" s="509">
        <f>+H1082-G1082</f>
        <v>0</v>
      </c>
      <c r="J1082" s="509"/>
      <c r="K1082" s="639">
        <v>250071</v>
      </c>
      <c r="L1082" s="510"/>
      <c r="M1082" s="639">
        <v>250071</v>
      </c>
      <c r="N1082" s="510"/>
      <c r="O1082" s="510"/>
    </row>
    <row r="1083" spans="1:15">
      <c r="C1083" s="505">
        <f>IF(D1076="","-",+C1082+1)</f>
        <v>2016</v>
      </c>
      <c r="D1083" s="469">
        <f t="shared" ref="D1083:D1141" si="67">F1082</f>
        <v>7027638.1190476194</v>
      </c>
      <c r="E1083" s="511">
        <f>IF(D1083&gt;$I$1079,$I$1079,D1083)</f>
        <v>170711.85714285713</v>
      </c>
      <c r="F1083" s="469">
        <f t="shared" si="66"/>
        <v>6856926.2619047621</v>
      </c>
      <c r="G1083" s="935">
        <f t="shared" ref="G1083:G1141" si="68">+$I$1077*((D1083+F1083)/2)+E1083</f>
        <v>1211820.0027322457</v>
      </c>
      <c r="H1083" s="938">
        <f t="shared" ref="H1083:H1141" si="69">$I$1078*((D1083+F1083)/2)+E1083</f>
        <v>1211820.0027322457</v>
      </c>
      <c r="I1083" s="509">
        <f t="shared" ref="I1083:I1141" si="70">+H1083-G1083</f>
        <v>0</v>
      </c>
      <c r="J1083" s="509"/>
      <c r="K1083" s="640">
        <v>77068</v>
      </c>
      <c r="L1083" s="514"/>
      <c r="M1083" s="640">
        <v>77068</v>
      </c>
      <c r="N1083" s="514"/>
      <c r="O1083" s="514"/>
    </row>
    <row r="1084" spans="1:15">
      <c r="C1084" s="505">
        <f>IF(D1076="","-",+C1083+1)</f>
        <v>2017</v>
      </c>
      <c r="D1084" s="469">
        <f t="shared" si="67"/>
        <v>6856926.2619047621</v>
      </c>
      <c r="E1084" s="511">
        <f t="shared" ref="E1084:E1141" si="71">IF(D1084&gt;$I$1079,$I$1079,D1084)</f>
        <v>170711.85714285713</v>
      </c>
      <c r="F1084" s="469">
        <f t="shared" si="66"/>
        <v>6686214.4047619049</v>
      </c>
      <c r="G1084" s="935">
        <f t="shared" si="68"/>
        <v>1186218.9827587362</v>
      </c>
      <c r="H1084" s="938">
        <f t="shared" si="69"/>
        <v>1186218.9827587362</v>
      </c>
      <c r="I1084" s="509">
        <f t="shared" si="70"/>
        <v>0</v>
      </c>
      <c r="J1084" s="509"/>
      <c r="K1084" s="640">
        <v>123326</v>
      </c>
      <c r="L1084" s="514"/>
      <c r="M1084" s="640">
        <v>123326</v>
      </c>
      <c r="N1084" s="514"/>
      <c r="O1084" s="514"/>
    </row>
    <row r="1085" spans="1:15">
      <c r="C1085" s="940">
        <f>IF(D1076="","-",+C1084+1)</f>
        <v>2018</v>
      </c>
      <c r="D1085" s="941">
        <f t="shared" si="67"/>
        <v>6686214.4047619049</v>
      </c>
      <c r="E1085" s="942">
        <f t="shared" si="71"/>
        <v>170711.85714285713</v>
      </c>
      <c r="F1085" s="941">
        <f t="shared" si="66"/>
        <v>6515502.5476190476</v>
      </c>
      <c r="G1085" s="943">
        <f t="shared" si="68"/>
        <v>1160617.9627852265</v>
      </c>
      <c r="H1085" s="944">
        <f t="shared" si="69"/>
        <v>1160617.9627852265</v>
      </c>
      <c r="I1085" s="945">
        <f t="shared" si="70"/>
        <v>0</v>
      </c>
      <c r="J1085" s="509"/>
      <c r="K1085" s="640"/>
      <c r="L1085" s="514"/>
      <c r="M1085" s="640"/>
      <c r="N1085" s="514"/>
      <c r="O1085" s="514"/>
    </row>
    <row r="1086" spans="1:15">
      <c r="C1086" s="505">
        <f>IF(D1076="","-",+C1085+1)</f>
        <v>2019</v>
      </c>
      <c r="D1086" s="469">
        <f t="shared" si="67"/>
        <v>6515502.5476190476</v>
      </c>
      <c r="E1086" s="511">
        <f t="shared" si="71"/>
        <v>170711.85714285713</v>
      </c>
      <c r="F1086" s="469">
        <f t="shared" si="66"/>
        <v>6344790.6904761903</v>
      </c>
      <c r="G1086" s="935">
        <f t="shared" si="68"/>
        <v>1135016.942811717</v>
      </c>
      <c r="H1086" s="938">
        <f t="shared" si="69"/>
        <v>1135016.942811717</v>
      </c>
      <c r="I1086" s="509">
        <f t="shared" si="70"/>
        <v>0</v>
      </c>
      <c r="J1086" s="509"/>
      <c r="K1086" s="640"/>
      <c r="L1086" s="514"/>
      <c r="M1086" s="640"/>
      <c r="N1086" s="514"/>
      <c r="O1086" s="514"/>
    </row>
    <row r="1087" spans="1:15">
      <c r="C1087" s="505">
        <f>IF(D1076="","-",+C1086+1)</f>
        <v>2020</v>
      </c>
      <c r="D1087" s="469">
        <f t="shared" si="67"/>
        <v>6344790.6904761903</v>
      </c>
      <c r="E1087" s="511">
        <f t="shared" si="71"/>
        <v>170711.85714285713</v>
      </c>
      <c r="F1087" s="469">
        <f t="shared" si="66"/>
        <v>6174078.833333333</v>
      </c>
      <c r="G1087" s="935">
        <f t="shared" si="68"/>
        <v>1109415.9228382073</v>
      </c>
      <c r="H1087" s="938">
        <f t="shared" si="69"/>
        <v>1109415.9228382073</v>
      </c>
      <c r="I1087" s="509">
        <f t="shared" si="70"/>
        <v>0</v>
      </c>
      <c r="J1087" s="509"/>
      <c r="K1087" s="640"/>
      <c r="L1087" s="514"/>
      <c r="M1087" s="640"/>
      <c r="N1087" s="514"/>
      <c r="O1087" s="514"/>
    </row>
    <row r="1088" spans="1:15">
      <c r="C1088" s="505">
        <f>IF(D1076="","-",+C1087+1)</f>
        <v>2021</v>
      </c>
      <c r="D1088" s="469">
        <f t="shared" si="67"/>
        <v>6174078.833333333</v>
      </c>
      <c r="E1088" s="511">
        <f t="shared" si="71"/>
        <v>170711.85714285713</v>
      </c>
      <c r="F1088" s="469">
        <f t="shared" si="66"/>
        <v>6003366.9761904757</v>
      </c>
      <c r="G1088" s="935">
        <f t="shared" si="68"/>
        <v>1083814.9028646979</v>
      </c>
      <c r="H1088" s="938">
        <f t="shared" si="69"/>
        <v>1083814.9028646979</v>
      </c>
      <c r="I1088" s="509">
        <f t="shared" si="70"/>
        <v>0</v>
      </c>
      <c r="J1088" s="509"/>
      <c r="K1088" s="640"/>
      <c r="L1088" s="514"/>
      <c r="M1088" s="640"/>
      <c r="N1088" s="514"/>
      <c r="O1088" s="514"/>
    </row>
    <row r="1089" spans="3:15">
      <c r="C1089" s="505">
        <f>IF(D1076="","-",+C1088+1)</f>
        <v>2022</v>
      </c>
      <c r="D1089" s="469">
        <f t="shared" si="67"/>
        <v>6003366.9761904757</v>
      </c>
      <c r="E1089" s="511">
        <f t="shared" si="71"/>
        <v>170711.85714285713</v>
      </c>
      <c r="F1089" s="469">
        <f t="shared" si="66"/>
        <v>5832655.1190476185</v>
      </c>
      <c r="G1089" s="935">
        <f t="shared" si="68"/>
        <v>1058213.8828911881</v>
      </c>
      <c r="H1089" s="938">
        <f t="shared" si="69"/>
        <v>1058213.8828911881</v>
      </c>
      <c r="I1089" s="509">
        <f t="shared" si="70"/>
        <v>0</v>
      </c>
      <c r="J1089" s="509"/>
      <c r="K1089" s="640"/>
      <c r="L1089" s="514"/>
      <c r="M1089" s="640"/>
      <c r="N1089" s="514"/>
      <c r="O1089" s="514"/>
    </row>
    <row r="1090" spans="3:15">
      <c r="C1090" s="505">
        <f>IF(D1076="","-",+C1089+1)</f>
        <v>2023</v>
      </c>
      <c r="D1090" s="469">
        <f t="shared" si="67"/>
        <v>5832655.1190476185</v>
      </c>
      <c r="E1090" s="511">
        <f t="shared" si="71"/>
        <v>170711.85714285713</v>
      </c>
      <c r="F1090" s="469">
        <f t="shared" si="66"/>
        <v>5661943.2619047612</v>
      </c>
      <c r="G1090" s="935">
        <f t="shared" si="68"/>
        <v>1032612.8629176789</v>
      </c>
      <c r="H1090" s="938">
        <f t="shared" si="69"/>
        <v>1032612.8629176789</v>
      </c>
      <c r="I1090" s="509">
        <f t="shared" si="70"/>
        <v>0</v>
      </c>
      <c r="J1090" s="509"/>
      <c r="K1090" s="640"/>
      <c r="L1090" s="514"/>
      <c r="M1090" s="640"/>
      <c r="N1090" s="514"/>
      <c r="O1090" s="514"/>
    </row>
    <row r="1091" spans="3:15">
      <c r="C1091" s="505">
        <f>IF(D1076="","-",+C1090+1)</f>
        <v>2024</v>
      </c>
      <c r="D1091" s="469">
        <f t="shared" si="67"/>
        <v>5661943.2619047612</v>
      </c>
      <c r="E1091" s="511">
        <f t="shared" si="71"/>
        <v>170711.85714285713</v>
      </c>
      <c r="F1091" s="469">
        <f t="shared" si="66"/>
        <v>5491231.4047619039</v>
      </c>
      <c r="G1091" s="935">
        <f t="shared" si="68"/>
        <v>1007011.8429441692</v>
      </c>
      <c r="H1091" s="938">
        <f t="shared" si="69"/>
        <v>1007011.8429441692</v>
      </c>
      <c r="I1091" s="509">
        <f t="shared" si="70"/>
        <v>0</v>
      </c>
      <c r="J1091" s="509"/>
      <c r="K1091" s="640"/>
      <c r="L1091" s="514"/>
      <c r="M1091" s="640"/>
      <c r="N1091" s="514"/>
      <c r="O1091" s="514"/>
    </row>
    <row r="1092" spans="3:15">
      <c r="C1092" s="505">
        <f>IF(D1076="","-",+C1091+1)</f>
        <v>2025</v>
      </c>
      <c r="D1092" s="469">
        <f t="shared" si="67"/>
        <v>5491231.4047619039</v>
      </c>
      <c r="E1092" s="511">
        <f t="shared" si="71"/>
        <v>170711.85714285713</v>
      </c>
      <c r="F1092" s="469">
        <f t="shared" si="66"/>
        <v>5320519.5476190466</v>
      </c>
      <c r="G1092" s="935">
        <f t="shared" si="68"/>
        <v>981410.8229706597</v>
      </c>
      <c r="H1092" s="938">
        <f t="shared" si="69"/>
        <v>981410.8229706597</v>
      </c>
      <c r="I1092" s="509">
        <f t="shared" si="70"/>
        <v>0</v>
      </c>
      <c r="J1092" s="509"/>
      <c r="K1092" s="640"/>
      <c r="L1092" s="514"/>
      <c r="M1092" s="640"/>
      <c r="N1092" s="514"/>
      <c r="O1092" s="514"/>
    </row>
    <row r="1093" spans="3:15">
      <c r="C1093" s="505">
        <f>IF(D1076="","-",+C1092+1)</f>
        <v>2026</v>
      </c>
      <c r="D1093" s="469">
        <f t="shared" si="67"/>
        <v>5320519.5476190466</v>
      </c>
      <c r="E1093" s="511">
        <f t="shared" si="71"/>
        <v>170711.85714285713</v>
      </c>
      <c r="F1093" s="469">
        <f t="shared" si="66"/>
        <v>5149807.6904761894</v>
      </c>
      <c r="G1093" s="935">
        <f t="shared" si="68"/>
        <v>955809.80299714999</v>
      </c>
      <c r="H1093" s="938">
        <f t="shared" si="69"/>
        <v>955809.80299714999</v>
      </c>
      <c r="I1093" s="509">
        <f t="shared" si="70"/>
        <v>0</v>
      </c>
      <c r="J1093" s="509"/>
      <c r="K1093" s="640"/>
      <c r="L1093" s="514"/>
      <c r="M1093" s="640"/>
      <c r="N1093" s="514"/>
      <c r="O1093" s="514"/>
    </row>
    <row r="1094" spans="3:15">
      <c r="C1094" s="505">
        <f>IF(D1076="","-",+C1093+1)</f>
        <v>2027</v>
      </c>
      <c r="D1094" s="469">
        <f t="shared" si="67"/>
        <v>5149807.6904761894</v>
      </c>
      <c r="E1094" s="511">
        <f t="shared" si="71"/>
        <v>170711.85714285713</v>
      </c>
      <c r="F1094" s="469">
        <f t="shared" si="66"/>
        <v>4979095.8333333321</v>
      </c>
      <c r="G1094" s="935">
        <f t="shared" si="68"/>
        <v>930208.78302364051</v>
      </c>
      <c r="H1094" s="938">
        <f t="shared" si="69"/>
        <v>930208.78302364051</v>
      </c>
      <c r="I1094" s="509">
        <f t="shared" si="70"/>
        <v>0</v>
      </c>
      <c r="J1094" s="509"/>
      <c r="K1094" s="640"/>
      <c r="L1094" s="514"/>
      <c r="M1094" s="640"/>
      <c r="N1094" s="514"/>
      <c r="O1094" s="514"/>
    </row>
    <row r="1095" spans="3:15">
      <c r="C1095" s="505">
        <f>IF(D1076="","-",+C1094+1)</f>
        <v>2028</v>
      </c>
      <c r="D1095" s="469">
        <f t="shared" si="67"/>
        <v>4979095.8333333321</v>
      </c>
      <c r="E1095" s="511">
        <f t="shared" si="71"/>
        <v>170711.85714285713</v>
      </c>
      <c r="F1095" s="469">
        <f t="shared" si="66"/>
        <v>4808383.9761904748</v>
      </c>
      <c r="G1095" s="935">
        <f t="shared" si="68"/>
        <v>904607.7630501308</v>
      </c>
      <c r="H1095" s="938">
        <f t="shared" si="69"/>
        <v>904607.7630501308</v>
      </c>
      <c r="I1095" s="509">
        <f t="shared" si="70"/>
        <v>0</v>
      </c>
      <c r="J1095" s="509"/>
      <c r="K1095" s="640"/>
      <c r="L1095" s="514"/>
      <c r="M1095" s="640"/>
      <c r="N1095" s="514"/>
      <c r="O1095" s="514"/>
    </row>
    <row r="1096" spans="3:15">
      <c r="C1096" s="505">
        <f>IF(D1076="","-",+C1095+1)</f>
        <v>2029</v>
      </c>
      <c r="D1096" s="469">
        <f t="shared" si="67"/>
        <v>4808383.9761904748</v>
      </c>
      <c r="E1096" s="511">
        <f t="shared" si="71"/>
        <v>170711.85714285713</v>
      </c>
      <c r="F1096" s="469">
        <f t="shared" si="66"/>
        <v>4637672.1190476175</v>
      </c>
      <c r="G1096" s="935">
        <f t="shared" si="68"/>
        <v>879006.74307662144</v>
      </c>
      <c r="H1096" s="938">
        <f t="shared" si="69"/>
        <v>879006.74307662144</v>
      </c>
      <c r="I1096" s="509">
        <f t="shared" si="70"/>
        <v>0</v>
      </c>
      <c r="J1096" s="509"/>
      <c r="K1096" s="640"/>
      <c r="L1096" s="514"/>
      <c r="M1096" s="640"/>
      <c r="N1096" s="514"/>
      <c r="O1096" s="514"/>
    </row>
    <row r="1097" spans="3:15">
      <c r="C1097" s="505">
        <f>IF(D1076="","-",+C1096+1)</f>
        <v>2030</v>
      </c>
      <c r="D1097" s="469">
        <f t="shared" si="67"/>
        <v>4637672.1190476175</v>
      </c>
      <c r="E1097" s="511">
        <f t="shared" si="71"/>
        <v>170711.85714285713</v>
      </c>
      <c r="F1097" s="469">
        <f t="shared" si="66"/>
        <v>4466960.2619047603</v>
      </c>
      <c r="G1097" s="935">
        <f t="shared" si="68"/>
        <v>853405.72310311173</v>
      </c>
      <c r="H1097" s="938">
        <f t="shared" si="69"/>
        <v>853405.72310311173</v>
      </c>
      <c r="I1097" s="509">
        <f t="shared" si="70"/>
        <v>0</v>
      </c>
      <c r="J1097" s="509"/>
      <c r="K1097" s="640"/>
      <c r="L1097" s="514"/>
      <c r="M1097" s="640"/>
      <c r="N1097" s="514"/>
      <c r="O1097" s="514"/>
    </row>
    <row r="1098" spans="3:15">
      <c r="C1098" s="505">
        <f>IF(D1076="","-",+C1097+1)</f>
        <v>2031</v>
      </c>
      <c r="D1098" s="469">
        <f t="shared" si="67"/>
        <v>4466960.2619047603</v>
      </c>
      <c r="E1098" s="511">
        <f t="shared" si="71"/>
        <v>170711.85714285713</v>
      </c>
      <c r="F1098" s="469">
        <f t="shared" si="66"/>
        <v>4296248.404761903</v>
      </c>
      <c r="G1098" s="935">
        <f t="shared" si="68"/>
        <v>827804.70312960225</v>
      </c>
      <c r="H1098" s="938">
        <f t="shared" si="69"/>
        <v>827804.70312960225</v>
      </c>
      <c r="I1098" s="509">
        <f t="shared" si="70"/>
        <v>0</v>
      </c>
      <c r="J1098" s="509"/>
      <c r="K1098" s="640"/>
      <c r="L1098" s="514"/>
      <c r="M1098" s="640"/>
      <c r="N1098" s="514"/>
      <c r="O1098" s="514"/>
    </row>
    <row r="1099" spans="3:15">
      <c r="C1099" s="505">
        <f>IF(D1076="","-",+C1098+1)</f>
        <v>2032</v>
      </c>
      <c r="D1099" s="469">
        <f t="shared" si="67"/>
        <v>4296248.404761903</v>
      </c>
      <c r="E1099" s="511">
        <f t="shared" si="71"/>
        <v>170711.85714285713</v>
      </c>
      <c r="F1099" s="469">
        <f t="shared" si="66"/>
        <v>4125536.5476190457</v>
      </c>
      <c r="G1099" s="935">
        <f t="shared" si="68"/>
        <v>802203.68315609253</v>
      </c>
      <c r="H1099" s="938">
        <f t="shared" si="69"/>
        <v>802203.68315609253</v>
      </c>
      <c r="I1099" s="509">
        <f t="shared" si="70"/>
        <v>0</v>
      </c>
      <c r="J1099" s="509"/>
      <c r="K1099" s="640"/>
      <c r="L1099" s="514"/>
      <c r="M1099" s="640"/>
      <c r="N1099" s="514"/>
      <c r="O1099" s="514"/>
    </row>
    <row r="1100" spans="3:15">
      <c r="C1100" s="505">
        <f>IF(D1076="","-",+C1099+1)</f>
        <v>2033</v>
      </c>
      <c r="D1100" s="469">
        <f t="shared" si="67"/>
        <v>4125536.5476190457</v>
      </c>
      <c r="E1100" s="511">
        <f t="shared" si="71"/>
        <v>170711.85714285713</v>
      </c>
      <c r="F1100" s="469">
        <f t="shared" si="66"/>
        <v>3954824.6904761884</v>
      </c>
      <c r="G1100" s="935">
        <f t="shared" si="68"/>
        <v>776602.66318258306</v>
      </c>
      <c r="H1100" s="938">
        <f t="shared" si="69"/>
        <v>776602.66318258306</v>
      </c>
      <c r="I1100" s="509">
        <f t="shared" si="70"/>
        <v>0</v>
      </c>
      <c r="J1100" s="509"/>
      <c r="K1100" s="640"/>
      <c r="L1100" s="514"/>
      <c r="M1100" s="640"/>
      <c r="N1100" s="514"/>
      <c r="O1100" s="514"/>
    </row>
    <row r="1101" spans="3:15">
      <c r="C1101" s="505">
        <f>IF(D1076="","-",+C1100+1)</f>
        <v>2034</v>
      </c>
      <c r="D1101" s="469">
        <f t="shared" si="67"/>
        <v>3954824.6904761884</v>
      </c>
      <c r="E1101" s="511">
        <f t="shared" si="71"/>
        <v>170711.85714285713</v>
      </c>
      <c r="F1101" s="469">
        <f t="shared" si="66"/>
        <v>3784112.8333333312</v>
      </c>
      <c r="G1101" s="935">
        <f t="shared" si="68"/>
        <v>751001.64320907346</v>
      </c>
      <c r="H1101" s="938">
        <f t="shared" si="69"/>
        <v>751001.64320907346</v>
      </c>
      <c r="I1101" s="509">
        <f t="shared" si="70"/>
        <v>0</v>
      </c>
      <c r="J1101" s="509"/>
      <c r="K1101" s="640"/>
      <c r="L1101" s="514"/>
      <c r="M1101" s="640"/>
      <c r="N1101" s="514"/>
      <c r="O1101" s="514"/>
    </row>
    <row r="1102" spans="3:15">
      <c r="C1102" s="505">
        <f>IF(D1076="","-",+C1101+1)</f>
        <v>2035</v>
      </c>
      <c r="D1102" s="469">
        <f t="shared" si="67"/>
        <v>3784112.8333333312</v>
      </c>
      <c r="E1102" s="511">
        <f t="shared" si="71"/>
        <v>170711.85714285713</v>
      </c>
      <c r="F1102" s="469">
        <f t="shared" si="66"/>
        <v>3613400.9761904739</v>
      </c>
      <c r="G1102" s="935">
        <f t="shared" si="68"/>
        <v>725400.62323556386</v>
      </c>
      <c r="H1102" s="938">
        <f t="shared" si="69"/>
        <v>725400.62323556386</v>
      </c>
      <c r="I1102" s="509">
        <f t="shared" si="70"/>
        <v>0</v>
      </c>
      <c r="J1102" s="509"/>
      <c r="K1102" s="640"/>
      <c r="L1102" s="514"/>
      <c r="M1102" s="640"/>
      <c r="N1102" s="514"/>
      <c r="O1102" s="514"/>
    </row>
    <row r="1103" spans="3:15">
      <c r="C1103" s="505">
        <f>IF(D1076="","-",+C1102+1)</f>
        <v>2036</v>
      </c>
      <c r="D1103" s="469">
        <f t="shared" si="67"/>
        <v>3613400.9761904739</v>
      </c>
      <c r="E1103" s="511">
        <f t="shared" si="71"/>
        <v>170711.85714285713</v>
      </c>
      <c r="F1103" s="469">
        <f t="shared" si="66"/>
        <v>3442689.1190476166</v>
      </c>
      <c r="G1103" s="935">
        <f t="shared" si="68"/>
        <v>699799.60326205427</v>
      </c>
      <c r="H1103" s="938">
        <f t="shared" si="69"/>
        <v>699799.60326205427</v>
      </c>
      <c r="I1103" s="509">
        <f t="shared" si="70"/>
        <v>0</v>
      </c>
      <c r="J1103" s="509"/>
      <c r="K1103" s="640"/>
      <c r="L1103" s="514"/>
      <c r="M1103" s="640"/>
      <c r="N1103" s="514"/>
      <c r="O1103" s="514"/>
    </row>
    <row r="1104" spans="3:15">
      <c r="C1104" s="505">
        <f>IF(D1076="","-",+C1103+1)</f>
        <v>2037</v>
      </c>
      <c r="D1104" s="469">
        <f t="shared" si="67"/>
        <v>3442689.1190476166</v>
      </c>
      <c r="E1104" s="511">
        <f t="shared" si="71"/>
        <v>170711.85714285713</v>
      </c>
      <c r="F1104" s="469">
        <f t="shared" si="66"/>
        <v>3271977.2619047593</v>
      </c>
      <c r="G1104" s="935">
        <f t="shared" si="68"/>
        <v>674198.58328854467</v>
      </c>
      <c r="H1104" s="938">
        <f t="shared" si="69"/>
        <v>674198.58328854467</v>
      </c>
      <c r="I1104" s="509">
        <f t="shared" si="70"/>
        <v>0</v>
      </c>
      <c r="J1104" s="509"/>
      <c r="K1104" s="640"/>
      <c r="L1104" s="514"/>
      <c r="M1104" s="640"/>
      <c r="N1104" s="514"/>
      <c r="O1104" s="514"/>
    </row>
    <row r="1105" spans="3:15">
      <c r="C1105" s="505">
        <f>IF(D1076="","-",+C1104+1)</f>
        <v>2038</v>
      </c>
      <c r="D1105" s="469">
        <f t="shared" si="67"/>
        <v>3271977.2619047593</v>
      </c>
      <c r="E1105" s="511">
        <f t="shared" si="71"/>
        <v>170711.85714285713</v>
      </c>
      <c r="F1105" s="469">
        <f t="shared" si="66"/>
        <v>3101265.4047619021</v>
      </c>
      <c r="G1105" s="935">
        <f t="shared" si="68"/>
        <v>648597.56331503508</v>
      </c>
      <c r="H1105" s="938">
        <f t="shared" si="69"/>
        <v>648597.56331503508</v>
      </c>
      <c r="I1105" s="509">
        <f t="shared" si="70"/>
        <v>0</v>
      </c>
      <c r="J1105" s="509"/>
      <c r="K1105" s="640"/>
      <c r="L1105" s="514"/>
      <c r="M1105" s="640"/>
      <c r="N1105" s="514"/>
      <c r="O1105" s="514"/>
    </row>
    <row r="1106" spans="3:15">
      <c r="C1106" s="505">
        <f>IF(D1076="","-",+C1105+1)</f>
        <v>2039</v>
      </c>
      <c r="D1106" s="469">
        <f t="shared" si="67"/>
        <v>3101265.4047619021</v>
      </c>
      <c r="E1106" s="511">
        <f t="shared" si="71"/>
        <v>170711.85714285713</v>
      </c>
      <c r="F1106" s="469">
        <f t="shared" si="66"/>
        <v>2930553.5476190448</v>
      </c>
      <c r="G1106" s="935">
        <f t="shared" si="68"/>
        <v>622996.5433415256</v>
      </c>
      <c r="H1106" s="938">
        <f t="shared" si="69"/>
        <v>622996.5433415256</v>
      </c>
      <c r="I1106" s="509">
        <f t="shared" si="70"/>
        <v>0</v>
      </c>
      <c r="J1106" s="509"/>
      <c r="K1106" s="640"/>
      <c r="L1106" s="514"/>
      <c r="M1106" s="640"/>
      <c r="N1106" s="514"/>
      <c r="O1106" s="514"/>
    </row>
    <row r="1107" spans="3:15">
      <c r="C1107" s="505">
        <f>IF(D1076="","-",+C1106+1)</f>
        <v>2040</v>
      </c>
      <c r="D1107" s="469">
        <f t="shared" si="67"/>
        <v>2930553.5476190448</v>
      </c>
      <c r="E1107" s="511">
        <f t="shared" si="71"/>
        <v>170711.85714285713</v>
      </c>
      <c r="F1107" s="469">
        <f t="shared" si="66"/>
        <v>2759841.6904761875</v>
      </c>
      <c r="G1107" s="935">
        <f t="shared" si="68"/>
        <v>597395.523368016</v>
      </c>
      <c r="H1107" s="938">
        <f t="shared" si="69"/>
        <v>597395.523368016</v>
      </c>
      <c r="I1107" s="509">
        <f t="shared" si="70"/>
        <v>0</v>
      </c>
      <c r="J1107" s="509"/>
      <c r="K1107" s="640"/>
      <c r="L1107" s="514"/>
      <c r="M1107" s="640"/>
      <c r="N1107" s="514"/>
      <c r="O1107" s="514"/>
    </row>
    <row r="1108" spans="3:15">
      <c r="C1108" s="505">
        <f>IF(D1076="","-",+C1107+1)</f>
        <v>2041</v>
      </c>
      <c r="D1108" s="469">
        <f t="shared" si="67"/>
        <v>2759841.6904761875</v>
      </c>
      <c r="E1108" s="511">
        <f t="shared" si="71"/>
        <v>170711.85714285713</v>
      </c>
      <c r="F1108" s="469">
        <f t="shared" si="66"/>
        <v>2589129.8333333302</v>
      </c>
      <c r="G1108" s="935">
        <f t="shared" si="68"/>
        <v>571794.50339450641</v>
      </c>
      <c r="H1108" s="938">
        <f t="shared" si="69"/>
        <v>571794.50339450641</v>
      </c>
      <c r="I1108" s="509">
        <f t="shared" si="70"/>
        <v>0</v>
      </c>
      <c r="J1108" s="509"/>
      <c r="K1108" s="640"/>
      <c r="L1108" s="514"/>
      <c r="M1108" s="640"/>
      <c r="N1108" s="514"/>
      <c r="O1108" s="514"/>
    </row>
    <row r="1109" spans="3:15">
      <c r="C1109" s="505">
        <f>IF(D1076="","-",+C1108+1)</f>
        <v>2042</v>
      </c>
      <c r="D1109" s="469">
        <f t="shared" si="67"/>
        <v>2589129.8333333302</v>
      </c>
      <c r="E1109" s="511">
        <f t="shared" si="71"/>
        <v>170711.85714285713</v>
      </c>
      <c r="F1109" s="469">
        <f t="shared" si="66"/>
        <v>2418417.976190473</v>
      </c>
      <c r="G1109" s="935">
        <f t="shared" si="68"/>
        <v>546193.48342099681</v>
      </c>
      <c r="H1109" s="938">
        <f t="shared" si="69"/>
        <v>546193.48342099681</v>
      </c>
      <c r="I1109" s="509">
        <f t="shared" si="70"/>
        <v>0</v>
      </c>
      <c r="J1109" s="509"/>
      <c r="K1109" s="640"/>
      <c r="L1109" s="514"/>
      <c r="M1109" s="640"/>
      <c r="N1109" s="514"/>
      <c r="O1109" s="514"/>
    </row>
    <row r="1110" spans="3:15">
      <c r="C1110" s="505">
        <f>IF(D1076="","-",+C1109+1)</f>
        <v>2043</v>
      </c>
      <c r="D1110" s="469">
        <f t="shared" si="67"/>
        <v>2418417.976190473</v>
      </c>
      <c r="E1110" s="511">
        <f t="shared" si="71"/>
        <v>170711.85714285713</v>
      </c>
      <c r="F1110" s="469">
        <f t="shared" si="66"/>
        <v>2247706.1190476157</v>
      </c>
      <c r="G1110" s="936">
        <f t="shared" si="68"/>
        <v>520592.46344748721</v>
      </c>
      <c r="H1110" s="938">
        <f t="shared" si="69"/>
        <v>520592.46344748721</v>
      </c>
      <c r="I1110" s="509">
        <f t="shared" si="70"/>
        <v>0</v>
      </c>
      <c r="J1110" s="509"/>
      <c r="K1110" s="640"/>
      <c r="L1110" s="514"/>
      <c r="M1110" s="640"/>
      <c r="N1110" s="514"/>
      <c r="O1110" s="514"/>
    </row>
    <row r="1111" spans="3:15">
      <c r="C1111" s="505">
        <f>IF(D1076="","-",+C1110+1)</f>
        <v>2044</v>
      </c>
      <c r="D1111" s="469">
        <f t="shared" si="67"/>
        <v>2247706.1190476157</v>
      </c>
      <c r="E1111" s="511">
        <f t="shared" si="71"/>
        <v>170711.85714285713</v>
      </c>
      <c r="F1111" s="469">
        <f t="shared" si="66"/>
        <v>2076994.2619047586</v>
      </c>
      <c r="G1111" s="935">
        <f t="shared" si="68"/>
        <v>494991.44347397762</v>
      </c>
      <c r="H1111" s="938">
        <f t="shared" si="69"/>
        <v>494991.44347397762</v>
      </c>
      <c r="I1111" s="509">
        <f t="shared" si="70"/>
        <v>0</v>
      </c>
      <c r="J1111" s="509"/>
      <c r="K1111" s="640"/>
      <c r="L1111" s="514"/>
      <c r="M1111" s="640"/>
      <c r="N1111" s="514"/>
      <c r="O1111" s="514"/>
    </row>
    <row r="1112" spans="3:15">
      <c r="C1112" s="505">
        <f>IF(D1076="","-",+C1111+1)</f>
        <v>2045</v>
      </c>
      <c r="D1112" s="469">
        <f t="shared" si="67"/>
        <v>2076994.2619047586</v>
      </c>
      <c r="E1112" s="511">
        <f t="shared" si="71"/>
        <v>170711.85714285713</v>
      </c>
      <c r="F1112" s="469">
        <f t="shared" si="66"/>
        <v>1906282.4047619016</v>
      </c>
      <c r="G1112" s="935">
        <f t="shared" si="68"/>
        <v>469390.42350046814</v>
      </c>
      <c r="H1112" s="938">
        <f t="shared" si="69"/>
        <v>469390.42350046814</v>
      </c>
      <c r="I1112" s="509">
        <f t="shared" si="70"/>
        <v>0</v>
      </c>
      <c r="J1112" s="509"/>
      <c r="K1112" s="640"/>
      <c r="L1112" s="514"/>
      <c r="M1112" s="640"/>
      <c r="N1112" s="514"/>
      <c r="O1112" s="514"/>
    </row>
    <row r="1113" spans="3:15">
      <c r="C1113" s="505">
        <f>IF(D1076="","-",+C1112+1)</f>
        <v>2046</v>
      </c>
      <c r="D1113" s="469">
        <f t="shared" si="67"/>
        <v>1906282.4047619016</v>
      </c>
      <c r="E1113" s="511">
        <f t="shared" si="71"/>
        <v>170711.85714285713</v>
      </c>
      <c r="F1113" s="469">
        <f t="shared" si="66"/>
        <v>1735570.5476190445</v>
      </c>
      <c r="G1113" s="935">
        <f t="shared" si="68"/>
        <v>443789.40352695854</v>
      </c>
      <c r="H1113" s="938">
        <f t="shared" si="69"/>
        <v>443789.40352695854</v>
      </c>
      <c r="I1113" s="509">
        <f t="shared" si="70"/>
        <v>0</v>
      </c>
      <c r="J1113" s="509"/>
      <c r="K1113" s="640"/>
      <c r="L1113" s="514"/>
      <c r="M1113" s="640"/>
      <c r="N1113" s="514"/>
      <c r="O1113" s="514"/>
    </row>
    <row r="1114" spans="3:15">
      <c r="C1114" s="505">
        <f>IF(D1076="","-",+C1113+1)</f>
        <v>2047</v>
      </c>
      <c r="D1114" s="469">
        <f t="shared" si="67"/>
        <v>1735570.5476190445</v>
      </c>
      <c r="E1114" s="511">
        <f t="shared" si="71"/>
        <v>170711.85714285713</v>
      </c>
      <c r="F1114" s="469">
        <f t="shared" si="66"/>
        <v>1564858.6904761875</v>
      </c>
      <c r="G1114" s="935">
        <f t="shared" si="68"/>
        <v>418188.38355344906</v>
      </c>
      <c r="H1114" s="938">
        <f t="shared" si="69"/>
        <v>418188.38355344906</v>
      </c>
      <c r="I1114" s="509">
        <f t="shared" si="70"/>
        <v>0</v>
      </c>
      <c r="J1114" s="509"/>
      <c r="K1114" s="640"/>
      <c r="L1114" s="514"/>
      <c r="M1114" s="640"/>
      <c r="N1114" s="514"/>
      <c r="O1114" s="514"/>
    </row>
    <row r="1115" spans="3:15">
      <c r="C1115" s="505">
        <f>IF(D1076="","-",+C1114+1)</f>
        <v>2048</v>
      </c>
      <c r="D1115" s="469">
        <f t="shared" si="67"/>
        <v>1564858.6904761875</v>
      </c>
      <c r="E1115" s="511">
        <f t="shared" si="71"/>
        <v>170711.85714285713</v>
      </c>
      <c r="F1115" s="469">
        <f t="shared" si="66"/>
        <v>1394146.8333333305</v>
      </c>
      <c r="G1115" s="935">
        <f t="shared" si="68"/>
        <v>392587.36357993947</v>
      </c>
      <c r="H1115" s="938">
        <f t="shared" si="69"/>
        <v>392587.36357993947</v>
      </c>
      <c r="I1115" s="509">
        <f t="shared" si="70"/>
        <v>0</v>
      </c>
      <c r="J1115" s="509"/>
      <c r="K1115" s="640"/>
      <c r="L1115" s="514"/>
      <c r="M1115" s="640"/>
      <c r="N1115" s="514"/>
      <c r="O1115" s="514"/>
    </row>
    <row r="1116" spans="3:15">
      <c r="C1116" s="505">
        <f>IF(D1076="","-",+C1115+1)</f>
        <v>2049</v>
      </c>
      <c r="D1116" s="469">
        <f t="shared" si="67"/>
        <v>1394146.8333333305</v>
      </c>
      <c r="E1116" s="511">
        <f t="shared" si="71"/>
        <v>170711.85714285713</v>
      </c>
      <c r="F1116" s="469">
        <f t="shared" si="66"/>
        <v>1223434.9761904734</v>
      </c>
      <c r="G1116" s="935">
        <f t="shared" si="68"/>
        <v>366986.34360642999</v>
      </c>
      <c r="H1116" s="938">
        <f t="shared" si="69"/>
        <v>366986.34360642999</v>
      </c>
      <c r="I1116" s="509">
        <f t="shared" si="70"/>
        <v>0</v>
      </c>
      <c r="J1116" s="509"/>
      <c r="K1116" s="640"/>
      <c r="L1116" s="514"/>
      <c r="M1116" s="640"/>
      <c r="N1116" s="514"/>
      <c r="O1116" s="514"/>
    </row>
    <row r="1117" spans="3:15">
      <c r="C1117" s="505">
        <f>IF(D1076="","-",+C1116+1)</f>
        <v>2050</v>
      </c>
      <c r="D1117" s="469">
        <f t="shared" si="67"/>
        <v>1223434.9761904734</v>
      </c>
      <c r="E1117" s="511">
        <f t="shared" si="71"/>
        <v>170711.85714285713</v>
      </c>
      <c r="F1117" s="469">
        <f t="shared" si="66"/>
        <v>1052723.1190476164</v>
      </c>
      <c r="G1117" s="935">
        <f t="shared" si="68"/>
        <v>341385.32363292039</v>
      </c>
      <c r="H1117" s="938">
        <f t="shared" si="69"/>
        <v>341385.32363292039</v>
      </c>
      <c r="I1117" s="509">
        <f t="shared" si="70"/>
        <v>0</v>
      </c>
      <c r="J1117" s="509"/>
      <c r="K1117" s="640"/>
      <c r="L1117" s="514"/>
      <c r="M1117" s="640"/>
      <c r="N1117" s="514"/>
      <c r="O1117" s="514"/>
    </row>
    <row r="1118" spans="3:15">
      <c r="C1118" s="505">
        <f>IF(D1076="","-",+C1117+1)</f>
        <v>2051</v>
      </c>
      <c r="D1118" s="469">
        <f t="shared" si="67"/>
        <v>1052723.1190476164</v>
      </c>
      <c r="E1118" s="511">
        <f t="shared" si="71"/>
        <v>170711.85714285713</v>
      </c>
      <c r="F1118" s="469">
        <f t="shared" si="66"/>
        <v>882011.26190475922</v>
      </c>
      <c r="G1118" s="935">
        <f t="shared" si="68"/>
        <v>315784.30365941091</v>
      </c>
      <c r="H1118" s="938">
        <f t="shared" si="69"/>
        <v>315784.30365941091</v>
      </c>
      <c r="I1118" s="509">
        <f t="shared" si="70"/>
        <v>0</v>
      </c>
      <c r="J1118" s="509"/>
      <c r="K1118" s="640"/>
      <c r="L1118" s="514"/>
      <c r="M1118" s="640"/>
      <c r="N1118" s="514"/>
      <c r="O1118" s="514"/>
    </row>
    <row r="1119" spans="3:15">
      <c r="C1119" s="505">
        <f>IF(D1076="","-",+C1118+1)</f>
        <v>2052</v>
      </c>
      <c r="D1119" s="469">
        <f t="shared" si="67"/>
        <v>882011.26190475922</v>
      </c>
      <c r="E1119" s="511">
        <f t="shared" si="71"/>
        <v>170711.85714285713</v>
      </c>
      <c r="F1119" s="469">
        <f t="shared" si="66"/>
        <v>711299.40476190206</v>
      </c>
      <c r="G1119" s="935">
        <f t="shared" si="68"/>
        <v>290183.28368590132</v>
      </c>
      <c r="H1119" s="938">
        <f t="shared" si="69"/>
        <v>290183.28368590132</v>
      </c>
      <c r="I1119" s="509">
        <f t="shared" si="70"/>
        <v>0</v>
      </c>
      <c r="J1119" s="509"/>
      <c r="K1119" s="640"/>
      <c r="L1119" s="514"/>
      <c r="M1119" s="640"/>
      <c r="N1119" s="514"/>
      <c r="O1119" s="514"/>
    </row>
    <row r="1120" spans="3:15">
      <c r="C1120" s="505">
        <f>IF(D1076="","-",+C1119+1)</f>
        <v>2053</v>
      </c>
      <c r="D1120" s="469">
        <f t="shared" si="67"/>
        <v>711299.40476190206</v>
      </c>
      <c r="E1120" s="511">
        <f>IF(D1120&gt;$I$1079,$I$1079,D1120)</f>
        <v>170711.85714285713</v>
      </c>
      <c r="F1120" s="469">
        <f t="shared" si="66"/>
        <v>540587.5476190449</v>
      </c>
      <c r="G1120" s="935">
        <f t="shared" si="68"/>
        <v>264582.26371239172</v>
      </c>
      <c r="H1120" s="938">
        <f t="shared" si="69"/>
        <v>264582.26371239172</v>
      </c>
      <c r="I1120" s="509">
        <f t="shared" si="70"/>
        <v>0</v>
      </c>
      <c r="J1120" s="509"/>
      <c r="K1120" s="640"/>
      <c r="L1120" s="514"/>
      <c r="M1120" s="640"/>
      <c r="N1120" s="514"/>
      <c r="O1120" s="514"/>
    </row>
    <row r="1121" spans="3:15">
      <c r="C1121" s="505">
        <f>IF(D1076="","-",+C1120+1)</f>
        <v>2054</v>
      </c>
      <c r="D1121" s="469">
        <f t="shared" si="67"/>
        <v>540587.5476190449</v>
      </c>
      <c r="E1121" s="511">
        <f t="shared" si="71"/>
        <v>170711.85714285713</v>
      </c>
      <c r="F1121" s="469">
        <f t="shared" si="66"/>
        <v>369875.69047618774</v>
      </c>
      <c r="G1121" s="935">
        <f t="shared" si="68"/>
        <v>238981.24373888219</v>
      </c>
      <c r="H1121" s="938">
        <f t="shared" si="69"/>
        <v>238981.24373888219</v>
      </c>
      <c r="I1121" s="509">
        <f t="shared" si="70"/>
        <v>0</v>
      </c>
      <c r="J1121" s="509"/>
      <c r="K1121" s="640"/>
      <c r="L1121" s="514"/>
      <c r="M1121" s="640"/>
      <c r="N1121" s="514"/>
      <c r="O1121" s="514"/>
    </row>
    <row r="1122" spans="3:15">
      <c r="C1122" s="505">
        <f>IF(D1076="","-",+C1121+1)</f>
        <v>2055</v>
      </c>
      <c r="D1122" s="469">
        <f t="shared" si="67"/>
        <v>369875.69047618774</v>
      </c>
      <c r="E1122" s="511">
        <f t="shared" si="71"/>
        <v>170711.85714285713</v>
      </c>
      <c r="F1122" s="469">
        <f t="shared" si="66"/>
        <v>199163.83333333061</v>
      </c>
      <c r="G1122" s="935">
        <f t="shared" si="68"/>
        <v>213380.22376537265</v>
      </c>
      <c r="H1122" s="938">
        <f t="shared" si="69"/>
        <v>213380.22376537265</v>
      </c>
      <c r="I1122" s="509">
        <f t="shared" si="70"/>
        <v>0</v>
      </c>
      <c r="J1122" s="509"/>
      <c r="K1122" s="640"/>
      <c r="L1122" s="514"/>
      <c r="M1122" s="640"/>
      <c r="N1122" s="514"/>
      <c r="O1122" s="514"/>
    </row>
    <row r="1123" spans="3:15">
      <c r="C1123" s="505">
        <f>IF(D1076="","-",+C1122+1)</f>
        <v>2056</v>
      </c>
      <c r="D1123" s="469">
        <f t="shared" si="67"/>
        <v>199163.83333333061</v>
      </c>
      <c r="E1123" s="511">
        <f t="shared" si="71"/>
        <v>170711.85714285713</v>
      </c>
      <c r="F1123" s="469">
        <f t="shared" si="66"/>
        <v>28451.976190473477</v>
      </c>
      <c r="G1123" s="935">
        <f t="shared" si="68"/>
        <v>187779.20379186308</v>
      </c>
      <c r="H1123" s="938">
        <f t="shared" si="69"/>
        <v>187779.20379186308</v>
      </c>
      <c r="I1123" s="509">
        <f t="shared" si="70"/>
        <v>0</v>
      </c>
      <c r="J1123" s="509"/>
      <c r="K1123" s="640"/>
      <c r="L1123" s="514"/>
      <c r="M1123" s="640"/>
      <c r="N1123" s="514"/>
      <c r="O1123" s="514"/>
    </row>
    <row r="1124" spans="3:15">
      <c r="C1124" s="505">
        <f>IF(D1076="","-",+C1123+1)</f>
        <v>2057</v>
      </c>
      <c r="D1124" s="469">
        <f t="shared" si="67"/>
        <v>28451.976190473477</v>
      </c>
      <c r="E1124" s="511">
        <f t="shared" si="71"/>
        <v>28451.976190473477</v>
      </c>
      <c r="F1124" s="469">
        <f t="shared" si="66"/>
        <v>0</v>
      </c>
      <c r="G1124" s="935">
        <f t="shared" si="68"/>
        <v>30585.394521599068</v>
      </c>
      <c r="H1124" s="938">
        <f t="shared" si="69"/>
        <v>30585.394521599068</v>
      </c>
      <c r="I1124" s="509">
        <f t="shared" si="70"/>
        <v>0</v>
      </c>
      <c r="J1124" s="509"/>
      <c r="K1124" s="640"/>
      <c r="L1124" s="514"/>
      <c r="M1124" s="640"/>
      <c r="N1124" s="514"/>
      <c r="O1124" s="514"/>
    </row>
    <row r="1125" spans="3:15">
      <c r="C1125" s="505">
        <f>IF(D1076="","-",+C1124+1)</f>
        <v>2058</v>
      </c>
      <c r="D1125" s="469">
        <f t="shared" si="67"/>
        <v>0</v>
      </c>
      <c r="E1125" s="511">
        <f t="shared" si="71"/>
        <v>0</v>
      </c>
      <c r="F1125" s="469">
        <f t="shared" si="66"/>
        <v>0</v>
      </c>
      <c r="G1125" s="935">
        <f t="shared" si="68"/>
        <v>0</v>
      </c>
      <c r="H1125" s="938">
        <f t="shared" si="69"/>
        <v>0</v>
      </c>
      <c r="I1125" s="509">
        <f t="shared" si="70"/>
        <v>0</v>
      </c>
      <c r="J1125" s="509"/>
      <c r="K1125" s="640"/>
      <c r="L1125" s="514"/>
      <c r="M1125" s="640"/>
      <c r="N1125" s="514"/>
      <c r="O1125" s="514"/>
    </row>
    <row r="1126" spans="3:15">
      <c r="C1126" s="505">
        <f>IF(D1076="","-",+C1125+1)</f>
        <v>2059</v>
      </c>
      <c r="D1126" s="469">
        <f t="shared" si="67"/>
        <v>0</v>
      </c>
      <c r="E1126" s="511">
        <f t="shared" si="71"/>
        <v>0</v>
      </c>
      <c r="F1126" s="469">
        <f t="shared" si="66"/>
        <v>0</v>
      </c>
      <c r="G1126" s="935">
        <f t="shared" si="68"/>
        <v>0</v>
      </c>
      <c r="H1126" s="938">
        <f t="shared" si="69"/>
        <v>0</v>
      </c>
      <c r="I1126" s="509">
        <f t="shared" si="70"/>
        <v>0</v>
      </c>
      <c r="J1126" s="509"/>
      <c r="K1126" s="640"/>
      <c r="L1126" s="514"/>
      <c r="M1126" s="640"/>
      <c r="N1126" s="514"/>
      <c r="O1126" s="514"/>
    </row>
    <row r="1127" spans="3:15">
      <c r="C1127" s="505">
        <f>IF(D1076="","-",+C1126+1)</f>
        <v>2060</v>
      </c>
      <c r="D1127" s="469">
        <f t="shared" si="67"/>
        <v>0</v>
      </c>
      <c r="E1127" s="511">
        <f t="shared" si="71"/>
        <v>0</v>
      </c>
      <c r="F1127" s="469">
        <f t="shared" si="66"/>
        <v>0</v>
      </c>
      <c r="G1127" s="935">
        <f t="shared" si="68"/>
        <v>0</v>
      </c>
      <c r="H1127" s="938">
        <f t="shared" si="69"/>
        <v>0</v>
      </c>
      <c r="I1127" s="509">
        <f t="shared" si="70"/>
        <v>0</v>
      </c>
      <c r="J1127" s="509"/>
      <c r="K1127" s="640"/>
      <c r="L1127" s="514"/>
      <c r="M1127" s="640"/>
      <c r="N1127" s="514"/>
      <c r="O1127" s="514"/>
    </row>
    <row r="1128" spans="3:15">
      <c r="C1128" s="505">
        <f>IF(D1076="","-",+C1127+1)</f>
        <v>2061</v>
      </c>
      <c r="D1128" s="469">
        <f t="shared" si="67"/>
        <v>0</v>
      </c>
      <c r="E1128" s="511">
        <f t="shared" si="71"/>
        <v>0</v>
      </c>
      <c r="F1128" s="469">
        <f t="shared" si="66"/>
        <v>0</v>
      </c>
      <c r="G1128" s="935">
        <f t="shared" si="68"/>
        <v>0</v>
      </c>
      <c r="H1128" s="938">
        <f t="shared" si="69"/>
        <v>0</v>
      </c>
      <c r="I1128" s="509">
        <f t="shared" si="70"/>
        <v>0</v>
      </c>
      <c r="J1128" s="509"/>
      <c r="K1128" s="640"/>
      <c r="L1128" s="514"/>
      <c r="M1128" s="640"/>
      <c r="N1128" s="514"/>
      <c r="O1128" s="514"/>
    </row>
    <row r="1129" spans="3:15">
      <c r="C1129" s="505">
        <f>IF(D1076="","-",+C1128+1)</f>
        <v>2062</v>
      </c>
      <c r="D1129" s="469">
        <f t="shared" si="67"/>
        <v>0</v>
      </c>
      <c r="E1129" s="511">
        <f t="shared" si="71"/>
        <v>0</v>
      </c>
      <c r="F1129" s="469">
        <f t="shared" si="66"/>
        <v>0</v>
      </c>
      <c r="G1129" s="935">
        <f t="shared" si="68"/>
        <v>0</v>
      </c>
      <c r="H1129" s="938">
        <f t="shared" si="69"/>
        <v>0</v>
      </c>
      <c r="I1129" s="509">
        <f t="shared" si="70"/>
        <v>0</v>
      </c>
      <c r="J1129" s="509"/>
      <c r="K1129" s="640"/>
      <c r="L1129" s="514"/>
      <c r="M1129" s="640"/>
      <c r="N1129" s="514"/>
      <c r="O1129" s="514"/>
    </row>
    <row r="1130" spans="3:15">
      <c r="C1130" s="505">
        <f>IF(D1076="","-",+C1129+1)</f>
        <v>2063</v>
      </c>
      <c r="D1130" s="469">
        <f t="shared" si="67"/>
        <v>0</v>
      </c>
      <c r="E1130" s="511">
        <f t="shared" si="71"/>
        <v>0</v>
      </c>
      <c r="F1130" s="469">
        <f t="shared" si="66"/>
        <v>0</v>
      </c>
      <c r="G1130" s="935">
        <f t="shared" si="68"/>
        <v>0</v>
      </c>
      <c r="H1130" s="938">
        <f t="shared" si="69"/>
        <v>0</v>
      </c>
      <c r="I1130" s="509">
        <f t="shared" si="70"/>
        <v>0</v>
      </c>
      <c r="J1130" s="509"/>
      <c r="K1130" s="640"/>
      <c r="L1130" s="514"/>
      <c r="M1130" s="640"/>
      <c r="N1130" s="514"/>
      <c r="O1130" s="514"/>
    </row>
    <row r="1131" spans="3:15">
      <c r="C1131" s="505">
        <f>IF(D1076="","-",+C1130+1)</f>
        <v>2064</v>
      </c>
      <c r="D1131" s="469">
        <f t="shared" si="67"/>
        <v>0</v>
      </c>
      <c r="E1131" s="511">
        <f t="shared" si="71"/>
        <v>0</v>
      </c>
      <c r="F1131" s="469">
        <f t="shared" si="66"/>
        <v>0</v>
      </c>
      <c r="G1131" s="935">
        <f t="shared" si="68"/>
        <v>0</v>
      </c>
      <c r="H1131" s="938">
        <f t="shared" si="69"/>
        <v>0</v>
      </c>
      <c r="I1131" s="509">
        <f t="shared" si="70"/>
        <v>0</v>
      </c>
      <c r="J1131" s="509"/>
      <c r="K1131" s="640"/>
      <c r="L1131" s="514"/>
      <c r="M1131" s="640"/>
      <c r="N1131" s="514"/>
      <c r="O1131" s="514"/>
    </row>
    <row r="1132" spans="3:15">
      <c r="C1132" s="505">
        <f>IF(D1076="","-",+C1131+1)</f>
        <v>2065</v>
      </c>
      <c r="D1132" s="469">
        <f t="shared" si="67"/>
        <v>0</v>
      </c>
      <c r="E1132" s="511">
        <f t="shared" si="71"/>
        <v>0</v>
      </c>
      <c r="F1132" s="469">
        <f t="shared" si="66"/>
        <v>0</v>
      </c>
      <c r="G1132" s="935">
        <f t="shared" si="68"/>
        <v>0</v>
      </c>
      <c r="H1132" s="938">
        <f t="shared" si="69"/>
        <v>0</v>
      </c>
      <c r="I1132" s="509">
        <f t="shared" si="70"/>
        <v>0</v>
      </c>
      <c r="J1132" s="509"/>
      <c r="K1132" s="640"/>
      <c r="L1132" s="514"/>
      <c r="M1132" s="640"/>
      <c r="N1132" s="514"/>
      <c r="O1132" s="514"/>
    </row>
    <row r="1133" spans="3:15">
      <c r="C1133" s="505">
        <f>IF(D1076="","-",+C1132+1)</f>
        <v>2066</v>
      </c>
      <c r="D1133" s="469">
        <f t="shared" si="67"/>
        <v>0</v>
      </c>
      <c r="E1133" s="511">
        <f t="shared" si="71"/>
        <v>0</v>
      </c>
      <c r="F1133" s="469">
        <f t="shared" si="66"/>
        <v>0</v>
      </c>
      <c r="G1133" s="935">
        <f t="shared" si="68"/>
        <v>0</v>
      </c>
      <c r="H1133" s="938">
        <f t="shared" si="69"/>
        <v>0</v>
      </c>
      <c r="I1133" s="509">
        <f t="shared" si="70"/>
        <v>0</v>
      </c>
      <c r="J1133" s="509"/>
      <c r="K1133" s="640"/>
      <c r="L1133" s="514"/>
      <c r="M1133" s="640"/>
      <c r="N1133" s="514"/>
      <c r="O1133" s="514"/>
    </row>
    <row r="1134" spans="3:15">
      <c r="C1134" s="505">
        <f>IF(D1076="","-",+C1133+1)</f>
        <v>2067</v>
      </c>
      <c r="D1134" s="469">
        <f t="shared" si="67"/>
        <v>0</v>
      </c>
      <c r="E1134" s="511">
        <f t="shared" si="71"/>
        <v>0</v>
      </c>
      <c r="F1134" s="469">
        <f t="shared" si="66"/>
        <v>0</v>
      </c>
      <c r="G1134" s="935">
        <f t="shared" si="68"/>
        <v>0</v>
      </c>
      <c r="H1134" s="938">
        <f t="shared" si="69"/>
        <v>0</v>
      </c>
      <c r="I1134" s="509">
        <f t="shared" si="70"/>
        <v>0</v>
      </c>
      <c r="J1134" s="509"/>
      <c r="K1134" s="640"/>
      <c r="L1134" s="514"/>
      <c r="M1134" s="640"/>
      <c r="N1134" s="514"/>
      <c r="O1134" s="514"/>
    </row>
    <row r="1135" spans="3:15">
      <c r="C1135" s="505">
        <f>IF(D1076="","-",+C1134+1)</f>
        <v>2068</v>
      </c>
      <c r="D1135" s="469">
        <f t="shared" si="67"/>
        <v>0</v>
      </c>
      <c r="E1135" s="511">
        <f t="shared" si="71"/>
        <v>0</v>
      </c>
      <c r="F1135" s="469">
        <f t="shared" si="66"/>
        <v>0</v>
      </c>
      <c r="G1135" s="935">
        <f t="shared" si="68"/>
        <v>0</v>
      </c>
      <c r="H1135" s="938">
        <f t="shared" si="69"/>
        <v>0</v>
      </c>
      <c r="I1135" s="509">
        <f t="shared" si="70"/>
        <v>0</v>
      </c>
      <c r="J1135" s="509"/>
      <c r="K1135" s="640"/>
      <c r="L1135" s="514"/>
      <c r="M1135" s="640"/>
      <c r="N1135" s="514"/>
      <c r="O1135" s="514"/>
    </row>
    <row r="1136" spans="3:15">
      <c r="C1136" s="505">
        <f>IF(D1076="","-",+C1135+1)</f>
        <v>2069</v>
      </c>
      <c r="D1136" s="469">
        <f t="shared" si="67"/>
        <v>0</v>
      </c>
      <c r="E1136" s="511">
        <f t="shared" si="71"/>
        <v>0</v>
      </c>
      <c r="F1136" s="469">
        <f t="shared" si="66"/>
        <v>0</v>
      </c>
      <c r="G1136" s="935">
        <f t="shared" si="68"/>
        <v>0</v>
      </c>
      <c r="H1136" s="938">
        <f t="shared" si="69"/>
        <v>0</v>
      </c>
      <c r="I1136" s="509">
        <f t="shared" si="70"/>
        <v>0</v>
      </c>
      <c r="J1136" s="509"/>
      <c r="K1136" s="640"/>
      <c r="L1136" s="514"/>
      <c r="M1136" s="640"/>
      <c r="N1136" s="514"/>
      <c r="O1136" s="514"/>
    </row>
    <row r="1137" spans="1:16">
      <c r="C1137" s="505">
        <f>IF(D1076="","-",+C1136+1)</f>
        <v>2070</v>
      </c>
      <c r="D1137" s="469">
        <f t="shared" si="67"/>
        <v>0</v>
      </c>
      <c r="E1137" s="511">
        <f t="shared" si="71"/>
        <v>0</v>
      </c>
      <c r="F1137" s="469">
        <f t="shared" si="66"/>
        <v>0</v>
      </c>
      <c r="G1137" s="935">
        <f t="shared" si="68"/>
        <v>0</v>
      </c>
      <c r="H1137" s="938">
        <f t="shared" si="69"/>
        <v>0</v>
      </c>
      <c r="I1137" s="509">
        <f t="shared" si="70"/>
        <v>0</v>
      </c>
      <c r="J1137" s="509"/>
      <c r="K1137" s="640"/>
      <c r="L1137" s="514"/>
      <c r="M1137" s="640"/>
      <c r="N1137" s="514"/>
      <c r="O1137" s="514"/>
    </row>
    <row r="1138" spans="1:16">
      <c r="C1138" s="505">
        <f>IF(D1076="","-",+C1137+1)</f>
        <v>2071</v>
      </c>
      <c r="D1138" s="469">
        <f t="shared" si="67"/>
        <v>0</v>
      </c>
      <c r="E1138" s="511">
        <f t="shared" si="71"/>
        <v>0</v>
      </c>
      <c r="F1138" s="469">
        <f t="shared" si="66"/>
        <v>0</v>
      </c>
      <c r="G1138" s="935">
        <f t="shared" si="68"/>
        <v>0</v>
      </c>
      <c r="H1138" s="938">
        <f t="shared" si="69"/>
        <v>0</v>
      </c>
      <c r="I1138" s="509">
        <f t="shared" si="70"/>
        <v>0</v>
      </c>
      <c r="J1138" s="509"/>
      <c r="K1138" s="640"/>
      <c r="L1138" s="514"/>
      <c r="M1138" s="640"/>
      <c r="N1138" s="514"/>
      <c r="O1138" s="514"/>
    </row>
    <row r="1139" spans="1:16">
      <c r="C1139" s="505">
        <f>IF(D1076="","-",+C1138+1)</f>
        <v>2072</v>
      </c>
      <c r="D1139" s="469">
        <f t="shared" si="67"/>
        <v>0</v>
      </c>
      <c r="E1139" s="511">
        <f t="shared" si="71"/>
        <v>0</v>
      </c>
      <c r="F1139" s="469">
        <f t="shared" si="66"/>
        <v>0</v>
      </c>
      <c r="G1139" s="935">
        <f t="shared" si="68"/>
        <v>0</v>
      </c>
      <c r="H1139" s="938">
        <f t="shared" si="69"/>
        <v>0</v>
      </c>
      <c r="I1139" s="509">
        <f t="shared" si="70"/>
        <v>0</v>
      </c>
      <c r="J1139" s="509"/>
      <c r="K1139" s="640"/>
      <c r="L1139" s="514"/>
      <c r="M1139" s="640"/>
      <c r="N1139" s="514"/>
      <c r="O1139" s="514"/>
    </row>
    <row r="1140" spans="1:16">
      <c r="C1140" s="505">
        <f>IF(D1076="","-",+C1139+1)</f>
        <v>2073</v>
      </c>
      <c r="D1140" s="469">
        <f t="shared" si="67"/>
        <v>0</v>
      </c>
      <c r="E1140" s="511">
        <f t="shared" si="71"/>
        <v>0</v>
      </c>
      <c r="F1140" s="469">
        <f t="shared" si="66"/>
        <v>0</v>
      </c>
      <c r="G1140" s="935">
        <f t="shared" si="68"/>
        <v>0</v>
      </c>
      <c r="H1140" s="938">
        <f t="shared" si="69"/>
        <v>0</v>
      </c>
      <c r="I1140" s="509">
        <f t="shared" si="70"/>
        <v>0</v>
      </c>
      <c r="J1140" s="509"/>
      <c r="K1140" s="640"/>
      <c r="L1140" s="514"/>
      <c r="M1140" s="640"/>
      <c r="N1140" s="514"/>
      <c r="O1140" s="514"/>
    </row>
    <row r="1141" spans="1:16" ht="13.5" thickBot="1">
      <c r="C1141" s="515">
        <f>IF(D1076="","-",+C1140+1)</f>
        <v>2074</v>
      </c>
      <c r="D1141" s="516">
        <f t="shared" si="67"/>
        <v>0</v>
      </c>
      <c r="E1141" s="517">
        <f t="shared" si="71"/>
        <v>0</v>
      </c>
      <c r="F1141" s="516">
        <f t="shared" si="66"/>
        <v>0</v>
      </c>
      <c r="G1141" s="946">
        <f t="shared" si="68"/>
        <v>0</v>
      </c>
      <c r="H1141" s="946">
        <f t="shared" si="69"/>
        <v>0</v>
      </c>
      <c r="I1141" s="519">
        <f t="shared" si="70"/>
        <v>0</v>
      </c>
      <c r="J1141" s="509"/>
      <c r="K1141" s="641"/>
      <c r="L1141" s="521"/>
      <c r="M1141" s="641"/>
      <c r="N1141" s="521"/>
      <c r="O1141" s="521"/>
    </row>
    <row r="1142" spans="1:16">
      <c r="C1142" s="469" t="s">
        <v>288</v>
      </c>
      <c r="D1142" s="915"/>
      <c r="E1142" s="469"/>
      <c r="F1142" s="915"/>
      <c r="G1142" s="915">
        <f>SUM(G1082:G1141)</f>
        <v>29929204.756449975</v>
      </c>
      <c r="H1142" s="915">
        <f>SUM(H1082:H1141)</f>
        <v>29929204.756449975</v>
      </c>
      <c r="I1142" s="915">
        <f>SUM(I1082:I1141)</f>
        <v>0</v>
      </c>
      <c r="J1142" s="915"/>
      <c r="K1142" s="915"/>
      <c r="L1142" s="915"/>
      <c r="M1142" s="915"/>
      <c r="N1142" s="915"/>
      <c r="O1142" s="4"/>
    </row>
    <row r="1143" spans="1:16">
      <c r="D1143" s="79"/>
      <c r="E1143" s="4"/>
      <c r="F1143" s="4"/>
      <c r="G1143" s="4"/>
      <c r="H1143" s="914"/>
      <c r="I1143" s="914"/>
      <c r="J1143" s="915"/>
      <c r="K1143" s="914"/>
      <c r="L1143" s="914"/>
      <c r="M1143" s="914"/>
      <c r="N1143" s="914"/>
      <c r="O1143" s="4"/>
    </row>
    <row r="1144" spans="1:16">
      <c r="C1144" s="4" t="s">
        <v>595</v>
      </c>
      <c r="D1144" s="79"/>
      <c r="E1144" s="4"/>
      <c r="F1144" s="4"/>
      <c r="G1144" s="4"/>
      <c r="H1144" s="914"/>
      <c r="I1144" s="914"/>
      <c r="J1144" s="915"/>
      <c r="K1144" s="914"/>
      <c r="L1144" s="914"/>
      <c r="M1144" s="914"/>
      <c r="N1144" s="914"/>
      <c r="O1144" s="4"/>
    </row>
    <row r="1145" spans="1:16">
      <c r="C1145" s="4"/>
      <c r="D1145" s="79"/>
      <c r="E1145" s="4"/>
      <c r="F1145" s="4"/>
      <c r="G1145" s="4"/>
      <c r="H1145" s="914"/>
      <c r="I1145" s="914"/>
      <c r="J1145" s="915"/>
      <c r="K1145" s="914"/>
      <c r="L1145" s="914"/>
      <c r="M1145" s="914"/>
      <c r="N1145" s="914"/>
      <c r="O1145" s="4"/>
    </row>
    <row r="1146" spans="1:16">
      <c r="C1146" s="479" t="s">
        <v>924</v>
      </c>
      <c r="D1146" s="469"/>
      <c r="E1146" s="469"/>
      <c r="F1146" s="469"/>
      <c r="G1146" s="915"/>
      <c r="H1146" s="915"/>
      <c r="I1146" s="471"/>
      <c r="J1146" s="471"/>
      <c r="K1146" s="471"/>
      <c r="L1146" s="471"/>
      <c r="M1146" s="471"/>
      <c r="N1146" s="471"/>
      <c r="O1146" s="4"/>
    </row>
    <row r="1147" spans="1:16">
      <c r="C1147" s="479" t="s">
        <v>476</v>
      </c>
      <c r="D1147" s="469"/>
      <c r="E1147" s="469"/>
      <c r="F1147" s="469"/>
      <c r="G1147" s="915"/>
      <c r="H1147" s="915"/>
      <c r="I1147" s="471"/>
      <c r="J1147" s="471"/>
      <c r="K1147" s="471"/>
      <c r="L1147" s="471"/>
      <c r="M1147" s="471"/>
      <c r="N1147" s="471"/>
      <c r="O1147" s="4"/>
    </row>
    <row r="1148" spans="1:16">
      <c r="C1148" s="470" t="s">
        <v>289</v>
      </c>
      <c r="D1148" s="469"/>
      <c r="E1148" s="469"/>
      <c r="F1148" s="469"/>
      <c r="G1148" s="915"/>
      <c r="H1148" s="915"/>
      <c r="I1148" s="471"/>
      <c r="J1148" s="471"/>
      <c r="K1148" s="471"/>
      <c r="L1148" s="471"/>
      <c r="M1148" s="471"/>
      <c r="N1148" s="471"/>
      <c r="O1148" s="4"/>
    </row>
    <row r="1149" spans="1:16">
      <c r="C1149" s="470"/>
      <c r="D1149" s="469"/>
      <c r="E1149" s="469"/>
      <c r="F1149" s="469"/>
      <c r="G1149" s="915"/>
      <c r="H1149" s="915"/>
      <c r="I1149" s="471"/>
      <c r="J1149" s="471"/>
      <c r="K1149" s="471"/>
      <c r="L1149" s="471"/>
      <c r="M1149" s="471"/>
      <c r="N1149" s="471"/>
      <c r="O1149" s="4"/>
    </row>
    <row r="1150" spans="1:16">
      <c r="C1150" s="1275" t="s">
        <v>460</v>
      </c>
      <c r="D1150" s="1275"/>
      <c r="E1150" s="1275"/>
      <c r="F1150" s="1275"/>
      <c r="G1150" s="1275"/>
      <c r="H1150" s="1275"/>
      <c r="I1150" s="1275"/>
      <c r="J1150" s="1275"/>
      <c r="K1150" s="1275"/>
      <c r="L1150" s="1275"/>
      <c r="M1150" s="1275"/>
      <c r="N1150" s="1275"/>
      <c r="O1150" s="1275"/>
    </row>
    <row r="1151" spans="1:16">
      <c r="C1151" s="1275"/>
      <c r="D1151" s="1275"/>
      <c r="E1151" s="1275"/>
      <c r="F1151" s="1275"/>
      <c r="G1151" s="1275"/>
      <c r="H1151" s="1275"/>
      <c r="I1151" s="1275"/>
      <c r="J1151" s="1275"/>
      <c r="K1151" s="1275"/>
      <c r="L1151" s="1275"/>
      <c r="M1151" s="1275"/>
      <c r="N1151" s="1275"/>
      <c r="O1151" s="1275"/>
    </row>
    <row r="1152" spans="1:16" ht="20.25">
      <c r="A1152" s="411" t="s">
        <v>921</v>
      </c>
      <c r="B1152" s="4"/>
      <c r="C1152" s="4"/>
      <c r="D1152" s="79"/>
      <c r="E1152" s="4"/>
      <c r="F1152" s="81"/>
      <c r="G1152" s="4"/>
      <c r="H1152" s="914"/>
      <c r="K1152" s="11"/>
      <c r="L1152" s="11"/>
      <c r="M1152" s="11"/>
      <c r="N1152" s="11" t="str">
        <f>"Page "&amp;SUM(P$6:P1152)&amp;" of "</f>
        <v xml:space="preserve">Page 13 of </v>
      </c>
      <c r="O1152" s="412">
        <f>COUNT(P$6:P$59579)</f>
        <v>22</v>
      </c>
      <c r="P1152" s="4">
        <v>1</v>
      </c>
    </row>
    <row r="1153" spans="2:15">
      <c r="B1153" s="4"/>
      <c r="C1153" s="4"/>
      <c r="D1153" s="79"/>
      <c r="E1153" s="4"/>
      <c r="F1153" s="4"/>
      <c r="G1153" s="4"/>
      <c r="H1153" s="914"/>
      <c r="I1153" s="4"/>
      <c r="J1153" s="4"/>
      <c r="K1153" s="4"/>
      <c r="L1153" s="4"/>
      <c r="M1153" s="4"/>
      <c r="N1153" s="4"/>
      <c r="O1153" s="4"/>
    </row>
    <row r="1154" spans="2:15" ht="18">
      <c r="B1154" s="413" t="s">
        <v>174</v>
      </c>
      <c r="C1154" s="472" t="s">
        <v>290</v>
      </c>
      <c r="D1154" s="79"/>
      <c r="E1154" s="4"/>
      <c r="F1154" s="4"/>
      <c r="G1154" s="4"/>
      <c r="H1154" s="914"/>
      <c r="I1154" s="914"/>
      <c r="J1154" s="915"/>
      <c r="K1154" s="914"/>
      <c r="L1154" s="914"/>
      <c r="M1154" s="914"/>
      <c r="N1154" s="914"/>
      <c r="O1154" s="4"/>
    </row>
    <row r="1155" spans="2:15" ht="18.75">
      <c r="B1155" s="413"/>
      <c r="C1155" s="13"/>
      <c r="D1155" s="79"/>
      <c r="E1155" s="4"/>
      <c r="F1155" s="4"/>
      <c r="G1155" s="4"/>
      <c r="H1155" s="914"/>
      <c r="I1155" s="914"/>
      <c r="J1155" s="915"/>
      <c r="K1155" s="914"/>
      <c r="L1155" s="914"/>
      <c r="M1155" s="914"/>
      <c r="N1155" s="914"/>
      <c r="O1155" s="4"/>
    </row>
    <row r="1156" spans="2:15" ht="18.75">
      <c r="B1156" s="413"/>
      <c r="C1156" s="13" t="s">
        <v>291</v>
      </c>
      <c r="D1156" s="79"/>
      <c r="E1156" s="4"/>
      <c r="F1156" s="4"/>
      <c r="G1156" s="4"/>
      <c r="H1156" s="914"/>
      <c r="I1156" s="914"/>
      <c r="J1156" s="915"/>
      <c r="K1156" s="914"/>
      <c r="L1156" s="914"/>
      <c r="M1156" s="914"/>
      <c r="N1156" s="914"/>
      <c r="O1156" s="4"/>
    </row>
    <row r="1157" spans="2:15" ht="15.75" thickBot="1">
      <c r="C1157" s="247"/>
      <c r="D1157" s="79"/>
      <c r="E1157" s="4"/>
      <c r="F1157" s="4"/>
      <c r="G1157" s="4"/>
      <c r="H1157" s="914"/>
      <c r="I1157" s="914"/>
      <c r="J1157" s="915"/>
      <c r="K1157" s="914"/>
      <c r="L1157" s="914"/>
      <c r="M1157" s="914"/>
      <c r="N1157" s="914"/>
      <c r="O1157" s="4"/>
    </row>
    <row r="1158" spans="2:15" ht="15.75">
      <c r="C1158" s="414" t="s">
        <v>292</v>
      </c>
      <c r="D1158" s="79"/>
      <c r="E1158" s="4"/>
      <c r="F1158" s="4"/>
      <c r="G1158" s="948"/>
      <c r="H1158" s="4" t="s">
        <v>271</v>
      </c>
      <c r="I1158" s="4"/>
      <c r="J1158" s="4"/>
      <c r="K1158" s="473" t="s">
        <v>296</v>
      </c>
      <c r="L1158" s="474"/>
      <c r="M1158" s="475"/>
      <c r="N1158" s="917">
        <f>VLOOKUP(I1164,C1171:O1230,5)</f>
        <v>198060.52904796749</v>
      </c>
      <c r="O1158" s="4"/>
    </row>
    <row r="1159" spans="2:15" ht="15.75">
      <c r="C1159" s="414"/>
      <c r="D1159" s="79"/>
      <c r="E1159" s="4"/>
      <c r="F1159" s="4"/>
      <c r="G1159" s="4"/>
      <c r="H1159" s="918"/>
      <c r="I1159" s="918"/>
      <c r="J1159" s="919"/>
      <c r="K1159" s="478" t="s">
        <v>297</v>
      </c>
      <c r="L1159" s="920"/>
      <c r="M1159" s="4"/>
      <c r="N1159" s="921">
        <f>VLOOKUP(I1164,C1171:O1230,6)</f>
        <v>198060.52904796749</v>
      </c>
      <c r="O1159" s="4"/>
    </row>
    <row r="1160" spans="2:15" ht="13.5" thickBot="1">
      <c r="C1160" s="479" t="s">
        <v>293</v>
      </c>
      <c r="D1160" s="956" t="s">
        <v>936</v>
      </c>
      <c r="E1160" s="953"/>
      <c r="F1160" s="953"/>
      <c r="G1160" s="953"/>
      <c r="H1160" s="643"/>
      <c r="I1160" s="643"/>
      <c r="J1160" s="915"/>
      <c r="K1160" s="922" t="s">
        <v>450</v>
      </c>
      <c r="L1160" s="923"/>
      <c r="M1160" s="923"/>
      <c r="N1160" s="924">
        <f>+N1159-N1158</f>
        <v>0</v>
      </c>
      <c r="O1160" s="4"/>
    </row>
    <row r="1161" spans="2:15">
      <c r="C1161" s="481"/>
      <c r="D1161" s="482"/>
      <c r="E1161" s="469"/>
      <c r="F1161" s="469"/>
      <c r="G1161" s="483"/>
      <c r="H1161" s="914"/>
      <c r="I1161" s="914"/>
      <c r="J1161" s="915"/>
      <c r="K1161" s="914"/>
      <c r="L1161" s="914"/>
      <c r="M1161" s="914"/>
      <c r="N1161" s="914"/>
      <c r="O1161" s="4"/>
    </row>
    <row r="1162" spans="2:15" ht="13.5" thickBot="1">
      <c r="C1162" s="481"/>
      <c r="D1162" s="925"/>
      <c r="E1162" s="483"/>
      <c r="F1162" s="483"/>
      <c r="G1162" s="483"/>
      <c r="H1162" s="483"/>
      <c r="I1162" s="483"/>
      <c r="J1162" s="483"/>
      <c r="K1162" s="483"/>
      <c r="L1162" s="483"/>
      <c r="M1162" s="483"/>
      <c r="N1162" s="483"/>
      <c r="O1162" s="4"/>
    </row>
    <row r="1163" spans="2:15" ht="13.5" thickBot="1">
      <c r="C1163" s="484" t="s">
        <v>294</v>
      </c>
      <c r="D1163" s="485"/>
      <c r="E1163" s="485"/>
      <c r="F1163" s="485"/>
      <c r="G1163" s="485"/>
      <c r="H1163" s="485"/>
      <c r="I1163" s="486"/>
      <c r="K1163" s="4"/>
      <c r="L1163" s="4"/>
      <c r="M1163" s="4"/>
      <c r="N1163" s="4"/>
      <c r="O1163" s="4"/>
    </row>
    <row r="1164" spans="2:15" ht="15">
      <c r="C1164" s="487" t="s">
        <v>272</v>
      </c>
      <c r="D1164" s="926">
        <v>1214619</v>
      </c>
      <c r="E1164" s="4" t="s">
        <v>273</v>
      </c>
      <c r="G1164" s="79"/>
      <c r="H1164" s="79"/>
      <c r="I1164" s="488">
        <v>2018</v>
      </c>
      <c r="J1164" s="135"/>
      <c r="K1164" s="1277" t="s">
        <v>459</v>
      </c>
      <c r="L1164" s="1277"/>
      <c r="M1164" s="1277"/>
      <c r="N1164" s="1277"/>
      <c r="O1164" s="1277"/>
    </row>
    <row r="1165" spans="2:15">
      <c r="C1165" s="487" t="s">
        <v>275</v>
      </c>
      <c r="D1165" s="636">
        <v>2015</v>
      </c>
      <c r="E1165" s="487" t="s">
        <v>276</v>
      </c>
      <c r="F1165" s="79"/>
      <c r="H1165"/>
      <c r="I1165" s="927">
        <f>IF(G1158="",0,$F$15)</f>
        <v>0</v>
      </c>
      <c r="J1165" s="489"/>
      <c r="K1165" s="915" t="s">
        <v>459</v>
      </c>
    </row>
    <row r="1166" spans="2:15">
      <c r="C1166" s="487" t="s">
        <v>277</v>
      </c>
      <c r="D1166" s="926">
        <v>6</v>
      </c>
      <c r="E1166" s="487" t="s">
        <v>278</v>
      </c>
      <c r="F1166" s="79"/>
      <c r="H1166"/>
      <c r="I1166" s="490">
        <f>$G$70</f>
        <v>0.14996626714737105</v>
      </c>
      <c r="J1166" s="81"/>
      <c r="K1166" t="str">
        <f>"          INPUT PROJECTED ARR (WITH &amp; WITHOUT INCENTIVES) FROM EACH PRIOR YEAR"</f>
        <v xml:space="preserve">          INPUT PROJECTED ARR (WITH &amp; WITHOUT INCENTIVES) FROM EACH PRIOR YEAR</v>
      </c>
    </row>
    <row r="1167" spans="2:15">
      <c r="C1167" s="487" t="s">
        <v>279</v>
      </c>
      <c r="D1167" s="491">
        <f>G$79</f>
        <v>42</v>
      </c>
      <c r="E1167" s="487" t="s">
        <v>280</v>
      </c>
      <c r="F1167" s="79"/>
      <c r="H1167"/>
      <c r="I1167" s="490">
        <f>IF(G1158="",I1166,$G$67)</f>
        <v>0.14996626714737105</v>
      </c>
      <c r="J1167" s="81"/>
      <c r="K1167" t="s">
        <v>357</v>
      </c>
    </row>
    <row r="1168" spans="2:15" ht="13.5" thickBot="1">
      <c r="C1168" s="487" t="s">
        <v>281</v>
      </c>
      <c r="D1168" s="637" t="s">
        <v>923</v>
      </c>
      <c r="E1168" s="492" t="s">
        <v>282</v>
      </c>
      <c r="F1168" s="493"/>
      <c r="G1168" s="494"/>
      <c r="H1168" s="494"/>
      <c r="I1168" s="924">
        <f>IF(D1164=0,0,D1164/D1167)</f>
        <v>28919.5</v>
      </c>
      <c r="J1168" s="915"/>
      <c r="K1168" s="915" t="s">
        <v>363</v>
      </c>
      <c r="L1168" s="915"/>
      <c r="M1168" s="915"/>
      <c r="N1168" s="915"/>
      <c r="O1168" s="4"/>
    </row>
    <row r="1169" spans="1:15" ht="51">
      <c r="A1169" s="12"/>
      <c r="B1169" s="12"/>
      <c r="C1169" s="495" t="s">
        <v>272</v>
      </c>
      <c r="D1169" s="928" t="s">
        <v>283</v>
      </c>
      <c r="E1169" s="929" t="s">
        <v>284</v>
      </c>
      <c r="F1169" s="928" t="s">
        <v>285</v>
      </c>
      <c r="G1169" s="929" t="s">
        <v>356</v>
      </c>
      <c r="H1169" s="930" t="s">
        <v>356</v>
      </c>
      <c r="I1169" s="495" t="s">
        <v>295</v>
      </c>
      <c r="J1169" s="499"/>
      <c r="K1169" s="929" t="s">
        <v>365</v>
      </c>
      <c r="L1169" s="931"/>
      <c r="M1169" s="929" t="s">
        <v>365</v>
      </c>
      <c r="N1169" s="931"/>
      <c r="O1169" s="931"/>
    </row>
    <row r="1170" spans="1:15" ht="13.5" thickBot="1">
      <c r="C1170" s="500" t="s">
        <v>177</v>
      </c>
      <c r="D1170" s="501" t="s">
        <v>178</v>
      </c>
      <c r="E1170" s="500" t="s">
        <v>37</v>
      </c>
      <c r="F1170" s="501" t="s">
        <v>178</v>
      </c>
      <c r="G1170" s="932" t="s">
        <v>298</v>
      </c>
      <c r="H1170" s="933" t="s">
        <v>300</v>
      </c>
      <c r="I1170" s="500" t="s">
        <v>389</v>
      </c>
      <c r="J1170" s="504"/>
      <c r="K1170" s="932" t="s">
        <v>287</v>
      </c>
      <c r="L1170" s="934"/>
      <c r="M1170" s="932" t="s">
        <v>300</v>
      </c>
      <c r="N1170" s="934"/>
      <c r="O1170" s="934"/>
    </row>
    <row r="1171" spans="1:15">
      <c r="C1171" s="505">
        <f>IF(D1165= "","-",D1165)</f>
        <v>2015</v>
      </c>
      <c r="D1171" s="469">
        <f>+D1164</f>
        <v>1214619</v>
      </c>
      <c r="E1171" s="935">
        <f>+I1168/12*(12-D1166)</f>
        <v>14459.75</v>
      </c>
      <c r="F1171" s="469">
        <f t="shared" ref="F1171:F1230" si="72">+D1171-E1171</f>
        <v>1200159.25</v>
      </c>
      <c r="G1171" s="936">
        <f>+$I$1166*((D1171+F1171)/2)+E1171</f>
        <v>195527.39007058059</v>
      </c>
      <c r="H1171" s="937">
        <f>$I$1167*((D1171+F1171)/2)+E1171</f>
        <v>195527.39007058059</v>
      </c>
      <c r="I1171" s="509">
        <f>+H1171-G1171</f>
        <v>0</v>
      </c>
      <c r="J1171" s="509"/>
      <c r="K1171" s="639">
        <v>247850</v>
      </c>
      <c r="L1171" s="510"/>
      <c r="M1171" s="639">
        <v>247850</v>
      </c>
      <c r="N1171" s="510"/>
      <c r="O1171" s="510"/>
    </row>
    <row r="1172" spans="1:15">
      <c r="C1172" s="505">
        <f>IF(D1165="","-",+C1171+1)</f>
        <v>2016</v>
      </c>
      <c r="D1172" s="469">
        <f t="shared" ref="D1172:D1230" si="73">F1171</f>
        <v>1200159.25</v>
      </c>
      <c r="E1172" s="511">
        <f>IF(D1172&gt;$I$1168,$I$1168,D1172)</f>
        <v>28919.5</v>
      </c>
      <c r="F1172" s="469">
        <f t="shared" si="72"/>
        <v>1171239.75</v>
      </c>
      <c r="G1172" s="935">
        <f t="shared" ref="G1172:G1230" si="74">+$I$1166*((D1172+F1172)/2)+E1172</f>
        <v>206734.42797350427</v>
      </c>
      <c r="H1172" s="938">
        <f t="shared" ref="H1172:H1230" si="75">$I$1167*((D1172+F1172)/2)+E1172</f>
        <v>206734.42797350427</v>
      </c>
      <c r="I1172" s="509">
        <f t="shared" ref="I1172:I1230" si="76">+H1172-G1172</f>
        <v>0</v>
      </c>
      <c r="J1172" s="509"/>
      <c r="K1172" s="640">
        <v>216823</v>
      </c>
      <c r="L1172" s="514"/>
      <c r="M1172" s="640">
        <v>216823</v>
      </c>
      <c r="N1172" s="514"/>
      <c r="O1172" s="514"/>
    </row>
    <row r="1173" spans="1:15">
      <c r="C1173" s="505">
        <f>IF(D1165="","-",+C1172+1)</f>
        <v>2017</v>
      </c>
      <c r="D1173" s="469">
        <f t="shared" si="73"/>
        <v>1171239.75</v>
      </c>
      <c r="E1173" s="511">
        <f t="shared" ref="E1173:E1230" si="77">IF(D1173&gt;$I$1168,$I$1168,D1173)</f>
        <v>28919.5</v>
      </c>
      <c r="F1173" s="469">
        <f t="shared" si="72"/>
        <v>1142320.25</v>
      </c>
      <c r="G1173" s="935">
        <f t="shared" si="74"/>
        <v>202397.47851073588</v>
      </c>
      <c r="H1173" s="938">
        <f t="shared" si="75"/>
        <v>202397.47851073588</v>
      </c>
      <c r="I1173" s="509">
        <f t="shared" si="76"/>
        <v>0</v>
      </c>
      <c r="J1173" s="509"/>
      <c r="K1173" s="640">
        <v>219628</v>
      </c>
      <c r="L1173" s="514"/>
      <c r="M1173" s="640">
        <v>219628</v>
      </c>
      <c r="N1173" s="514"/>
      <c r="O1173" s="514"/>
    </row>
    <row r="1174" spans="1:15">
      <c r="C1174" s="940">
        <f>IF(D1165="","-",+C1173+1)</f>
        <v>2018</v>
      </c>
      <c r="D1174" s="941">
        <f t="shared" si="73"/>
        <v>1142320.25</v>
      </c>
      <c r="E1174" s="942">
        <f t="shared" si="77"/>
        <v>28919.5</v>
      </c>
      <c r="F1174" s="941">
        <f t="shared" si="72"/>
        <v>1113400.75</v>
      </c>
      <c r="G1174" s="943">
        <f t="shared" si="74"/>
        <v>198060.52904796749</v>
      </c>
      <c r="H1174" s="944">
        <f t="shared" si="75"/>
        <v>198060.52904796749</v>
      </c>
      <c r="I1174" s="945">
        <f t="shared" si="76"/>
        <v>0</v>
      </c>
      <c r="J1174" s="509"/>
      <c r="K1174" s="640"/>
      <c r="L1174" s="514"/>
      <c r="M1174" s="640"/>
      <c r="N1174" s="514"/>
      <c r="O1174" s="514"/>
    </row>
    <row r="1175" spans="1:15">
      <c r="C1175" s="505">
        <f>IF(D1165="","-",+C1174+1)</f>
        <v>2019</v>
      </c>
      <c r="D1175" s="469">
        <f t="shared" si="73"/>
        <v>1113400.75</v>
      </c>
      <c r="E1175" s="511">
        <f t="shared" si="77"/>
        <v>28919.5</v>
      </c>
      <c r="F1175" s="469">
        <f t="shared" si="72"/>
        <v>1084481.25</v>
      </c>
      <c r="G1175" s="935">
        <f t="shared" si="74"/>
        <v>193723.5795851991</v>
      </c>
      <c r="H1175" s="938">
        <f t="shared" si="75"/>
        <v>193723.5795851991</v>
      </c>
      <c r="I1175" s="509">
        <f t="shared" si="76"/>
        <v>0</v>
      </c>
      <c r="J1175" s="509"/>
      <c r="K1175" s="640"/>
      <c r="L1175" s="514"/>
      <c r="M1175" s="640"/>
      <c r="N1175" s="514"/>
      <c r="O1175" s="514"/>
    </row>
    <row r="1176" spans="1:15">
      <c r="C1176" s="505">
        <f>IF(D1165="","-",+C1175+1)</f>
        <v>2020</v>
      </c>
      <c r="D1176" s="469">
        <f t="shared" si="73"/>
        <v>1084481.25</v>
      </c>
      <c r="E1176" s="511">
        <f t="shared" si="77"/>
        <v>28919.5</v>
      </c>
      <c r="F1176" s="469">
        <f t="shared" si="72"/>
        <v>1055561.75</v>
      </c>
      <c r="G1176" s="935">
        <f t="shared" si="74"/>
        <v>189386.63012243068</v>
      </c>
      <c r="H1176" s="938">
        <f t="shared" si="75"/>
        <v>189386.63012243068</v>
      </c>
      <c r="I1176" s="509">
        <f t="shared" si="76"/>
        <v>0</v>
      </c>
      <c r="J1176" s="509"/>
      <c r="K1176" s="640"/>
      <c r="L1176" s="514"/>
      <c r="M1176" s="640"/>
      <c r="N1176" s="514"/>
      <c r="O1176" s="514"/>
    </row>
    <row r="1177" spans="1:15">
      <c r="C1177" s="505">
        <f>IF(D1165="","-",+C1176+1)</f>
        <v>2021</v>
      </c>
      <c r="D1177" s="469">
        <f t="shared" si="73"/>
        <v>1055561.75</v>
      </c>
      <c r="E1177" s="511">
        <f t="shared" si="77"/>
        <v>28919.5</v>
      </c>
      <c r="F1177" s="469">
        <f t="shared" si="72"/>
        <v>1026642.25</v>
      </c>
      <c r="G1177" s="935">
        <f t="shared" si="74"/>
        <v>185049.68065966229</v>
      </c>
      <c r="H1177" s="938">
        <f t="shared" si="75"/>
        <v>185049.68065966229</v>
      </c>
      <c r="I1177" s="509">
        <f t="shared" si="76"/>
        <v>0</v>
      </c>
      <c r="J1177" s="509"/>
      <c r="K1177" s="640"/>
      <c r="L1177" s="514"/>
      <c r="M1177" s="640"/>
      <c r="N1177" s="514"/>
      <c r="O1177" s="514"/>
    </row>
    <row r="1178" spans="1:15">
      <c r="C1178" s="505">
        <f>IF(D1165="","-",+C1177+1)</f>
        <v>2022</v>
      </c>
      <c r="D1178" s="469">
        <f t="shared" si="73"/>
        <v>1026642.25</v>
      </c>
      <c r="E1178" s="511">
        <f t="shared" si="77"/>
        <v>28919.5</v>
      </c>
      <c r="F1178" s="469">
        <f t="shared" si="72"/>
        <v>997722.75</v>
      </c>
      <c r="G1178" s="935">
        <f t="shared" si="74"/>
        <v>180712.7311968939</v>
      </c>
      <c r="H1178" s="938">
        <f t="shared" si="75"/>
        <v>180712.7311968939</v>
      </c>
      <c r="I1178" s="509">
        <f t="shared" si="76"/>
        <v>0</v>
      </c>
      <c r="J1178" s="509"/>
      <c r="K1178" s="640"/>
      <c r="L1178" s="514"/>
      <c r="M1178" s="640"/>
      <c r="N1178" s="514"/>
      <c r="O1178" s="514"/>
    </row>
    <row r="1179" spans="1:15">
      <c r="C1179" s="505">
        <f>IF(D1165="","-",+C1178+1)</f>
        <v>2023</v>
      </c>
      <c r="D1179" s="469">
        <f t="shared" si="73"/>
        <v>997722.75</v>
      </c>
      <c r="E1179" s="511">
        <f t="shared" si="77"/>
        <v>28919.5</v>
      </c>
      <c r="F1179" s="469">
        <f t="shared" si="72"/>
        <v>968803.25</v>
      </c>
      <c r="G1179" s="935">
        <f t="shared" si="74"/>
        <v>176375.78173412548</v>
      </c>
      <c r="H1179" s="938">
        <f t="shared" si="75"/>
        <v>176375.78173412548</v>
      </c>
      <c r="I1179" s="509">
        <f t="shared" si="76"/>
        <v>0</v>
      </c>
      <c r="J1179" s="509"/>
      <c r="K1179" s="640"/>
      <c r="L1179" s="514"/>
      <c r="M1179" s="640"/>
      <c r="N1179" s="514"/>
      <c r="O1179" s="514"/>
    </row>
    <row r="1180" spans="1:15">
      <c r="C1180" s="505">
        <f>IF(D1165="","-",+C1179+1)</f>
        <v>2024</v>
      </c>
      <c r="D1180" s="469">
        <f t="shared" si="73"/>
        <v>968803.25</v>
      </c>
      <c r="E1180" s="511">
        <f t="shared" si="77"/>
        <v>28919.5</v>
      </c>
      <c r="F1180" s="469">
        <f t="shared" si="72"/>
        <v>939883.75</v>
      </c>
      <c r="G1180" s="935">
        <f t="shared" si="74"/>
        <v>172038.8322713571</v>
      </c>
      <c r="H1180" s="938">
        <f t="shared" si="75"/>
        <v>172038.8322713571</v>
      </c>
      <c r="I1180" s="509">
        <f t="shared" si="76"/>
        <v>0</v>
      </c>
      <c r="J1180" s="509"/>
      <c r="K1180" s="640"/>
      <c r="L1180" s="514"/>
      <c r="M1180" s="640"/>
      <c r="N1180" s="514"/>
      <c r="O1180" s="514"/>
    </row>
    <row r="1181" spans="1:15">
      <c r="C1181" s="505">
        <f>IF(D1165="","-",+C1180+1)</f>
        <v>2025</v>
      </c>
      <c r="D1181" s="469">
        <f t="shared" si="73"/>
        <v>939883.75</v>
      </c>
      <c r="E1181" s="511">
        <f t="shared" si="77"/>
        <v>28919.5</v>
      </c>
      <c r="F1181" s="469">
        <f t="shared" si="72"/>
        <v>910964.25</v>
      </c>
      <c r="G1181" s="935">
        <f t="shared" si="74"/>
        <v>167701.88280858871</v>
      </c>
      <c r="H1181" s="938">
        <f t="shared" si="75"/>
        <v>167701.88280858871</v>
      </c>
      <c r="I1181" s="509">
        <f t="shared" si="76"/>
        <v>0</v>
      </c>
      <c r="J1181" s="509"/>
      <c r="K1181" s="640"/>
      <c r="L1181" s="514"/>
      <c r="M1181" s="640"/>
      <c r="N1181" s="514"/>
      <c r="O1181" s="514"/>
    </row>
    <row r="1182" spans="1:15">
      <c r="C1182" s="505">
        <f>IF(D1165="","-",+C1181+1)</f>
        <v>2026</v>
      </c>
      <c r="D1182" s="469">
        <f t="shared" si="73"/>
        <v>910964.25</v>
      </c>
      <c r="E1182" s="511">
        <f t="shared" si="77"/>
        <v>28919.5</v>
      </c>
      <c r="F1182" s="469">
        <f t="shared" si="72"/>
        <v>882044.75</v>
      </c>
      <c r="G1182" s="935">
        <f t="shared" si="74"/>
        <v>163364.93334582032</v>
      </c>
      <c r="H1182" s="938">
        <f t="shared" si="75"/>
        <v>163364.93334582032</v>
      </c>
      <c r="I1182" s="509">
        <f t="shared" si="76"/>
        <v>0</v>
      </c>
      <c r="J1182" s="509"/>
      <c r="K1182" s="640"/>
      <c r="L1182" s="514"/>
      <c r="M1182" s="640"/>
      <c r="N1182" s="514"/>
      <c r="O1182" s="514"/>
    </row>
    <row r="1183" spans="1:15">
      <c r="C1183" s="505">
        <f>IF(D1165="","-",+C1182+1)</f>
        <v>2027</v>
      </c>
      <c r="D1183" s="469">
        <f t="shared" si="73"/>
        <v>882044.75</v>
      </c>
      <c r="E1183" s="511">
        <f t="shared" si="77"/>
        <v>28919.5</v>
      </c>
      <c r="F1183" s="469">
        <f t="shared" si="72"/>
        <v>853125.25</v>
      </c>
      <c r="G1183" s="935">
        <f t="shared" si="74"/>
        <v>159027.9838830519</v>
      </c>
      <c r="H1183" s="938">
        <f t="shared" si="75"/>
        <v>159027.9838830519</v>
      </c>
      <c r="I1183" s="509">
        <f t="shared" si="76"/>
        <v>0</v>
      </c>
      <c r="J1183" s="509"/>
      <c r="K1183" s="640"/>
      <c r="L1183" s="514"/>
      <c r="M1183" s="640"/>
      <c r="N1183" s="514"/>
      <c r="O1183" s="514"/>
    </row>
    <row r="1184" spans="1:15">
      <c r="C1184" s="505">
        <f>IF(D1165="","-",+C1183+1)</f>
        <v>2028</v>
      </c>
      <c r="D1184" s="469">
        <f t="shared" si="73"/>
        <v>853125.25</v>
      </c>
      <c r="E1184" s="511">
        <f t="shared" si="77"/>
        <v>28919.5</v>
      </c>
      <c r="F1184" s="469">
        <f t="shared" si="72"/>
        <v>824205.75</v>
      </c>
      <c r="G1184" s="935">
        <f t="shared" si="74"/>
        <v>154691.03442028351</v>
      </c>
      <c r="H1184" s="938">
        <f t="shared" si="75"/>
        <v>154691.03442028351</v>
      </c>
      <c r="I1184" s="509">
        <f t="shared" si="76"/>
        <v>0</v>
      </c>
      <c r="J1184" s="509"/>
      <c r="K1184" s="640"/>
      <c r="L1184" s="514"/>
      <c r="M1184" s="640"/>
      <c r="N1184" s="514"/>
      <c r="O1184" s="514"/>
    </row>
    <row r="1185" spans="3:15">
      <c r="C1185" s="505">
        <f>IF(D1165="","-",+C1184+1)</f>
        <v>2029</v>
      </c>
      <c r="D1185" s="469">
        <f t="shared" si="73"/>
        <v>824205.75</v>
      </c>
      <c r="E1185" s="511">
        <f t="shared" si="77"/>
        <v>28919.5</v>
      </c>
      <c r="F1185" s="469">
        <f t="shared" si="72"/>
        <v>795286.25</v>
      </c>
      <c r="G1185" s="935">
        <f t="shared" si="74"/>
        <v>150354.08495751512</v>
      </c>
      <c r="H1185" s="938">
        <f t="shared" si="75"/>
        <v>150354.08495751512</v>
      </c>
      <c r="I1185" s="509">
        <f t="shared" si="76"/>
        <v>0</v>
      </c>
      <c r="J1185" s="509"/>
      <c r="K1185" s="640"/>
      <c r="L1185" s="514"/>
      <c r="M1185" s="640"/>
      <c r="N1185" s="514"/>
      <c r="O1185" s="514"/>
    </row>
    <row r="1186" spans="3:15">
      <c r="C1186" s="505">
        <f>IF(D1165="","-",+C1185+1)</f>
        <v>2030</v>
      </c>
      <c r="D1186" s="469">
        <f t="shared" si="73"/>
        <v>795286.25</v>
      </c>
      <c r="E1186" s="511">
        <f t="shared" si="77"/>
        <v>28919.5</v>
      </c>
      <c r="F1186" s="469">
        <f t="shared" si="72"/>
        <v>766366.75</v>
      </c>
      <c r="G1186" s="935">
        <f t="shared" si="74"/>
        <v>146017.13549474673</v>
      </c>
      <c r="H1186" s="938">
        <f t="shared" si="75"/>
        <v>146017.13549474673</v>
      </c>
      <c r="I1186" s="509">
        <f t="shared" si="76"/>
        <v>0</v>
      </c>
      <c r="J1186" s="509"/>
      <c r="K1186" s="640"/>
      <c r="L1186" s="514"/>
      <c r="M1186" s="640"/>
      <c r="N1186" s="514"/>
      <c r="O1186" s="514"/>
    </row>
    <row r="1187" spans="3:15">
      <c r="C1187" s="505">
        <f>IF(D1165="","-",+C1186+1)</f>
        <v>2031</v>
      </c>
      <c r="D1187" s="469">
        <f t="shared" si="73"/>
        <v>766366.75</v>
      </c>
      <c r="E1187" s="511">
        <f t="shared" si="77"/>
        <v>28919.5</v>
      </c>
      <c r="F1187" s="469">
        <f t="shared" si="72"/>
        <v>737447.25</v>
      </c>
      <c r="G1187" s="935">
        <f t="shared" si="74"/>
        <v>141680.18603197832</v>
      </c>
      <c r="H1187" s="938">
        <f t="shared" si="75"/>
        <v>141680.18603197832</v>
      </c>
      <c r="I1187" s="509">
        <f t="shared" si="76"/>
        <v>0</v>
      </c>
      <c r="J1187" s="509"/>
      <c r="K1187" s="640"/>
      <c r="L1187" s="514"/>
      <c r="M1187" s="640"/>
      <c r="N1187" s="514"/>
      <c r="O1187" s="514"/>
    </row>
    <row r="1188" spans="3:15">
      <c r="C1188" s="505">
        <f>IF(D1165="","-",+C1187+1)</f>
        <v>2032</v>
      </c>
      <c r="D1188" s="469">
        <f t="shared" si="73"/>
        <v>737447.25</v>
      </c>
      <c r="E1188" s="511">
        <f t="shared" si="77"/>
        <v>28919.5</v>
      </c>
      <c r="F1188" s="469">
        <f t="shared" si="72"/>
        <v>708527.75</v>
      </c>
      <c r="G1188" s="935">
        <f t="shared" si="74"/>
        <v>137343.23656920993</v>
      </c>
      <c r="H1188" s="938">
        <f t="shared" si="75"/>
        <v>137343.23656920993</v>
      </c>
      <c r="I1188" s="509">
        <f t="shared" si="76"/>
        <v>0</v>
      </c>
      <c r="J1188" s="509"/>
      <c r="K1188" s="640"/>
      <c r="L1188" s="514"/>
      <c r="M1188" s="640"/>
      <c r="N1188" s="514"/>
      <c r="O1188" s="514"/>
    </row>
    <row r="1189" spans="3:15">
      <c r="C1189" s="505">
        <f>IF(D1165="","-",+C1188+1)</f>
        <v>2033</v>
      </c>
      <c r="D1189" s="469">
        <f t="shared" si="73"/>
        <v>708527.75</v>
      </c>
      <c r="E1189" s="511">
        <f t="shared" si="77"/>
        <v>28919.5</v>
      </c>
      <c r="F1189" s="469">
        <f t="shared" si="72"/>
        <v>679608.25</v>
      </c>
      <c r="G1189" s="935">
        <f t="shared" si="74"/>
        <v>133006.28710644151</v>
      </c>
      <c r="H1189" s="938">
        <f t="shared" si="75"/>
        <v>133006.28710644151</v>
      </c>
      <c r="I1189" s="509">
        <f t="shared" si="76"/>
        <v>0</v>
      </c>
      <c r="J1189" s="509"/>
      <c r="K1189" s="640"/>
      <c r="L1189" s="514"/>
      <c r="M1189" s="640"/>
      <c r="N1189" s="514"/>
      <c r="O1189" s="514"/>
    </row>
    <row r="1190" spans="3:15">
      <c r="C1190" s="505">
        <f>IF(D1165="","-",+C1189+1)</f>
        <v>2034</v>
      </c>
      <c r="D1190" s="469">
        <f t="shared" si="73"/>
        <v>679608.25</v>
      </c>
      <c r="E1190" s="511">
        <f t="shared" si="77"/>
        <v>28919.5</v>
      </c>
      <c r="F1190" s="469">
        <f t="shared" si="72"/>
        <v>650688.75</v>
      </c>
      <c r="G1190" s="935">
        <f t="shared" si="74"/>
        <v>128669.33764367313</v>
      </c>
      <c r="H1190" s="938">
        <f t="shared" si="75"/>
        <v>128669.33764367313</v>
      </c>
      <c r="I1190" s="509">
        <f t="shared" si="76"/>
        <v>0</v>
      </c>
      <c r="J1190" s="509"/>
      <c r="K1190" s="640"/>
      <c r="L1190" s="514"/>
      <c r="M1190" s="640"/>
      <c r="N1190" s="514"/>
      <c r="O1190" s="514"/>
    </row>
    <row r="1191" spans="3:15">
      <c r="C1191" s="505">
        <f>IF(D1165="","-",+C1190+1)</f>
        <v>2035</v>
      </c>
      <c r="D1191" s="469">
        <f t="shared" si="73"/>
        <v>650688.75</v>
      </c>
      <c r="E1191" s="511">
        <f t="shared" si="77"/>
        <v>28919.5</v>
      </c>
      <c r="F1191" s="469">
        <f t="shared" si="72"/>
        <v>621769.25</v>
      </c>
      <c r="G1191" s="935">
        <f t="shared" si="74"/>
        <v>124332.38818090473</v>
      </c>
      <c r="H1191" s="938">
        <f t="shared" si="75"/>
        <v>124332.38818090473</v>
      </c>
      <c r="I1191" s="509">
        <f t="shared" si="76"/>
        <v>0</v>
      </c>
      <c r="J1191" s="509"/>
      <c r="K1191" s="640"/>
      <c r="L1191" s="514"/>
      <c r="M1191" s="640"/>
      <c r="N1191" s="514"/>
      <c r="O1191" s="514"/>
    </row>
    <row r="1192" spans="3:15">
      <c r="C1192" s="505">
        <f>IF(D1165="","-",+C1191+1)</f>
        <v>2036</v>
      </c>
      <c r="D1192" s="469">
        <f t="shared" si="73"/>
        <v>621769.25</v>
      </c>
      <c r="E1192" s="511">
        <f t="shared" si="77"/>
        <v>28919.5</v>
      </c>
      <c r="F1192" s="469">
        <f t="shared" si="72"/>
        <v>592849.75</v>
      </c>
      <c r="G1192" s="935">
        <f t="shared" si="74"/>
        <v>119995.43871813634</v>
      </c>
      <c r="H1192" s="938">
        <f t="shared" si="75"/>
        <v>119995.43871813634</v>
      </c>
      <c r="I1192" s="509">
        <f t="shared" si="76"/>
        <v>0</v>
      </c>
      <c r="J1192" s="509"/>
      <c r="K1192" s="640"/>
      <c r="L1192" s="514"/>
      <c r="M1192" s="640"/>
      <c r="N1192" s="514"/>
      <c r="O1192" s="514"/>
    </row>
    <row r="1193" spans="3:15">
      <c r="C1193" s="505">
        <f>IF(D1165="","-",+C1192+1)</f>
        <v>2037</v>
      </c>
      <c r="D1193" s="469">
        <f t="shared" si="73"/>
        <v>592849.75</v>
      </c>
      <c r="E1193" s="511">
        <f t="shared" si="77"/>
        <v>28919.5</v>
      </c>
      <c r="F1193" s="469">
        <f t="shared" si="72"/>
        <v>563930.25</v>
      </c>
      <c r="G1193" s="935">
        <f t="shared" si="74"/>
        <v>115658.48925536794</v>
      </c>
      <c r="H1193" s="938">
        <f t="shared" si="75"/>
        <v>115658.48925536794</v>
      </c>
      <c r="I1193" s="509">
        <f t="shared" si="76"/>
        <v>0</v>
      </c>
      <c r="J1193" s="509"/>
      <c r="K1193" s="640"/>
      <c r="L1193" s="514"/>
      <c r="M1193" s="640"/>
      <c r="N1193" s="514"/>
      <c r="O1193" s="514"/>
    </row>
    <row r="1194" spans="3:15">
      <c r="C1194" s="505">
        <f>IF(D1165="","-",+C1193+1)</f>
        <v>2038</v>
      </c>
      <c r="D1194" s="469">
        <f t="shared" si="73"/>
        <v>563930.25</v>
      </c>
      <c r="E1194" s="511">
        <f t="shared" si="77"/>
        <v>28919.5</v>
      </c>
      <c r="F1194" s="469">
        <f t="shared" si="72"/>
        <v>535010.75</v>
      </c>
      <c r="G1194" s="935">
        <f t="shared" si="74"/>
        <v>111321.53979259955</v>
      </c>
      <c r="H1194" s="938">
        <f t="shared" si="75"/>
        <v>111321.53979259955</v>
      </c>
      <c r="I1194" s="509">
        <f t="shared" si="76"/>
        <v>0</v>
      </c>
      <c r="J1194" s="509"/>
      <c r="K1194" s="640"/>
      <c r="L1194" s="514"/>
      <c r="M1194" s="640"/>
      <c r="N1194" s="514"/>
      <c r="O1194" s="514"/>
    </row>
    <row r="1195" spans="3:15">
      <c r="C1195" s="505">
        <f>IF(D1165="","-",+C1194+1)</f>
        <v>2039</v>
      </c>
      <c r="D1195" s="469">
        <f t="shared" si="73"/>
        <v>535010.75</v>
      </c>
      <c r="E1195" s="511">
        <f t="shared" si="77"/>
        <v>28919.5</v>
      </c>
      <c r="F1195" s="469">
        <f t="shared" si="72"/>
        <v>506091.25</v>
      </c>
      <c r="G1195" s="935">
        <f t="shared" si="74"/>
        <v>106984.59032983115</v>
      </c>
      <c r="H1195" s="938">
        <f t="shared" si="75"/>
        <v>106984.59032983115</v>
      </c>
      <c r="I1195" s="509">
        <f t="shared" si="76"/>
        <v>0</v>
      </c>
      <c r="J1195" s="509"/>
      <c r="K1195" s="640"/>
      <c r="L1195" s="514"/>
      <c r="M1195" s="640"/>
      <c r="N1195" s="514"/>
      <c r="O1195" s="514"/>
    </row>
    <row r="1196" spans="3:15">
      <c r="C1196" s="505">
        <f>IF(D1165="","-",+C1195+1)</f>
        <v>2040</v>
      </c>
      <c r="D1196" s="469">
        <f t="shared" si="73"/>
        <v>506091.25</v>
      </c>
      <c r="E1196" s="511">
        <f t="shared" si="77"/>
        <v>28919.5</v>
      </c>
      <c r="F1196" s="469">
        <f t="shared" si="72"/>
        <v>477171.75</v>
      </c>
      <c r="G1196" s="935">
        <f t="shared" si="74"/>
        <v>102647.64086706274</v>
      </c>
      <c r="H1196" s="938">
        <f t="shared" si="75"/>
        <v>102647.64086706274</v>
      </c>
      <c r="I1196" s="509">
        <f t="shared" si="76"/>
        <v>0</v>
      </c>
      <c r="J1196" s="509"/>
      <c r="K1196" s="640"/>
      <c r="L1196" s="514"/>
      <c r="M1196" s="640"/>
      <c r="N1196" s="514"/>
      <c r="O1196" s="514"/>
    </row>
    <row r="1197" spans="3:15">
      <c r="C1197" s="505">
        <f>IF(D1165="","-",+C1196+1)</f>
        <v>2041</v>
      </c>
      <c r="D1197" s="469">
        <f t="shared" si="73"/>
        <v>477171.75</v>
      </c>
      <c r="E1197" s="511">
        <f t="shared" si="77"/>
        <v>28919.5</v>
      </c>
      <c r="F1197" s="469">
        <f t="shared" si="72"/>
        <v>448252.25</v>
      </c>
      <c r="G1197" s="935">
        <f t="shared" si="74"/>
        <v>98310.691404294354</v>
      </c>
      <c r="H1197" s="938">
        <f t="shared" si="75"/>
        <v>98310.691404294354</v>
      </c>
      <c r="I1197" s="509">
        <f t="shared" si="76"/>
        <v>0</v>
      </c>
      <c r="J1197" s="509"/>
      <c r="K1197" s="640"/>
      <c r="L1197" s="514"/>
      <c r="M1197" s="640"/>
      <c r="N1197" s="514"/>
      <c r="O1197" s="514"/>
    </row>
    <row r="1198" spans="3:15">
      <c r="C1198" s="505">
        <f>IF(D1165="","-",+C1197+1)</f>
        <v>2042</v>
      </c>
      <c r="D1198" s="469">
        <f t="shared" si="73"/>
        <v>448252.25</v>
      </c>
      <c r="E1198" s="511">
        <f t="shared" si="77"/>
        <v>28919.5</v>
      </c>
      <c r="F1198" s="469">
        <f t="shared" si="72"/>
        <v>419332.75</v>
      </c>
      <c r="G1198" s="935">
        <f t="shared" si="74"/>
        <v>93973.74194152595</v>
      </c>
      <c r="H1198" s="938">
        <f t="shared" si="75"/>
        <v>93973.74194152595</v>
      </c>
      <c r="I1198" s="509">
        <f t="shared" si="76"/>
        <v>0</v>
      </c>
      <c r="J1198" s="509"/>
      <c r="K1198" s="640"/>
      <c r="L1198" s="514"/>
      <c r="M1198" s="640"/>
      <c r="N1198" s="514"/>
      <c r="O1198" s="514"/>
    </row>
    <row r="1199" spans="3:15">
      <c r="C1199" s="505">
        <f>IF(D1165="","-",+C1198+1)</f>
        <v>2043</v>
      </c>
      <c r="D1199" s="469">
        <f t="shared" si="73"/>
        <v>419332.75</v>
      </c>
      <c r="E1199" s="511">
        <f t="shared" si="77"/>
        <v>28919.5</v>
      </c>
      <c r="F1199" s="469">
        <f t="shared" si="72"/>
        <v>390413.25</v>
      </c>
      <c r="G1199" s="936">
        <f t="shared" si="74"/>
        <v>89636.792478757561</v>
      </c>
      <c r="H1199" s="938">
        <f t="shared" si="75"/>
        <v>89636.792478757561</v>
      </c>
      <c r="I1199" s="509">
        <f t="shared" si="76"/>
        <v>0</v>
      </c>
      <c r="J1199" s="509"/>
      <c r="K1199" s="640"/>
      <c r="L1199" s="514"/>
      <c r="M1199" s="640"/>
      <c r="N1199" s="514"/>
      <c r="O1199" s="514"/>
    </row>
    <row r="1200" spans="3:15">
      <c r="C1200" s="505">
        <f>IF(D1165="","-",+C1199+1)</f>
        <v>2044</v>
      </c>
      <c r="D1200" s="469">
        <f t="shared" si="73"/>
        <v>390413.25</v>
      </c>
      <c r="E1200" s="511">
        <f t="shared" si="77"/>
        <v>28919.5</v>
      </c>
      <c r="F1200" s="469">
        <f t="shared" si="72"/>
        <v>361493.75</v>
      </c>
      <c r="G1200" s="935">
        <f t="shared" si="74"/>
        <v>85299.843015989158</v>
      </c>
      <c r="H1200" s="938">
        <f t="shared" si="75"/>
        <v>85299.843015989158</v>
      </c>
      <c r="I1200" s="509">
        <f t="shared" si="76"/>
        <v>0</v>
      </c>
      <c r="J1200" s="509"/>
      <c r="K1200" s="640"/>
      <c r="L1200" s="514"/>
      <c r="M1200" s="640"/>
      <c r="N1200" s="514"/>
      <c r="O1200" s="514"/>
    </row>
    <row r="1201" spans="3:15">
      <c r="C1201" s="505">
        <f>IF(D1165="","-",+C1200+1)</f>
        <v>2045</v>
      </c>
      <c r="D1201" s="469">
        <f t="shared" si="73"/>
        <v>361493.75</v>
      </c>
      <c r="E1201" s="511">
        <f t="shared" si="77"/>
        <v>28919.5</v>
      </c>
      <c r="F1201" s="469">
        <f t="shared" si="72"/>
        <v>332574.25</v>
      </c>
      <c r="G1201" s="935">
        <f t="shared" si="74"/>
        <v>80962.893553220754</v>
      </c>
      <c r="H1201" s="938">
        <f t="shared" si="75"/>
        <v>80962.893553220754</v>
      </c>
      <c r="I1201" s="509">
        <f t="shared" si="76"/>
        <v>0</v>
      </c>
      <c r="J1201" s="509"/>
      <c r="K1201" s="640"/>
      <c r="L1201" s="514"/>
      <c r="M1201" s="640"/>
      <c r="N1201" s="514"/>
      <c r="O1201" s="514"/>
    </row>
    <row r="1202" spans="3:15">
      <c r="C1202" s="505">
        <f>IF(D1165="","-",+C1201+1)</f>
        <v>2046</v>
      </c>
      <c r="D1202" s="469">
        <f t="shared" si="73"/>
        <v>332574.25</v>
      </c>
      <c r="E1202" s="511">
        <f t="shared" si="77"/>
        <v>28919.5</v>
      </c>
      <c r="F1202" s="469">
        <f t="shared" si="72"/>
        <v>303654.75</v>
      </c>
      <c r="G1202" s="935">
        <f t="shared" si="74"/>
        <v>76625.944090452365</v>
      </c>
      <c r="H1202" s="938">
        <f t="shared" si="75"/>
        <v>76625.944090452365</v>
      </c>
      <c r="I1202" s="509">
        <f t="shared" si="76"/>
        <v>0</v>
      </c>
      <c r="J1202" s="509"/>
      <c r="K1202" s="640"/>
      <c r="L1202" s="514"/>
      <c r="M1202" s="640"/>
      <c r="N1202" s="514"/>
      <c r="O1202" s="514"/>
    </row>
    <row r="1203" spans="3:15">
      <c r="C1203" s="505">
        <f>IF(D1165="","-",+C1202+1)</f>
        <v>2047</v>
      </c>
      <c r="D1203" s="469">
        <f t="shared" si="73"/>
        <v>303654.75</v>
      </c>
      <c r="E1203" s="511">
        <f t="shared" si="77"/>
        <v>28919.5</v>
      </c>
      <c r="F1203" s="469">
        <f t="shared" si="72"/>
        <v>274735.25</v>
      </c>
      <c r="G1203" s="935">
        <f t="shared" si="74"/>
        <v>72288.994627683976</v>
      </c>
      <c r="H1203" s="938">
        <f t="shared" si="75"/>
        <v>72288.994627683976</v>
      </c>
      <c r="I1203" s="509">
        <f t="shared" si="76"/>
        <v>0</v>
      </c>
      <c r="J1203" s="509"/>
      <c r="K1203" s="640"/>
      <c r="L1203" s="514"/>
      <c r="M1203" s="640"/>
      <c r="N1203" s="514"/>
      <c r="O1203" s="514"/>
    </row>
    <row r="1204" spans="3:15">
      <c r="C1204" s="505">
        <f>IF(D1165="","-",+C1203+1)</f>
        <v>2048</v>
      </c>
      <c r="D1204" s="469">
        <f t="shared" si="73"/>
        <v>274735.25</v>
      </c>
      <c r="E1204" s="511">
        <f t="shared" si="77"/>
        <v>28919.5</v>
      </c>
      <c r="F1204" s="469">
        <f t="shared" si="72"/>
        <v>245815.75</v>
      </c>
      <c r="G1204" s="935">
        <f t="shared" si="74"/>
        <v>67952.045164915573</v>
      </c>
      <c r="H1204" s="938">
        <f t="shared" si="75"/>
        <v>67952.045164915573</v>
      </c>
      <c r="I1204" s="509">
        <f t="shared" si="76"/>
        <v>0</v>
      </c>
      <c r="J1204" s="509"/>
      <c r="K1204" s="640"/>
      <c r="L1204" s="514"/>
      <c r="M1204" s="640"/>
      <c r="N1204" s="514"/>
      <c r="O1204" s="514"/>
    </row>
    <row r="1205" spans="3:15">
      <c r="C1205" s="505">
        <f>IF(D1165="","-",+C1204+1)</f>
        <v>2049</v>
      </c>
      <c r="D1205" s="469">
        <f t="shared" si="73"/>
        <v>245815.75</v>
      </c>
      <c r="E1205" s="511">
        <f t="shared" si="77"/>
        <v>28919.5</v>
      </c>
      <c r="F1205" s="469">
        <f t="shared" si="72"/>
        <v>216896.25</v>
      </c>
      <c r="G1205" s="935">
        <f t="shared" si="74"/>
        <v>63615.095702147177</v>
      </c>
      <c r="H1205" s="938">
        <f t="shared" si="75"/>
        <v>63615.095702147177</v>
      </c>
      <c r="I1205" s="509">
        <f t="shared" si="76"/>
        <v>0</v>
      </c>
      <c r="J1205" s="509"/>
      <c r="K1205" s="640"/>
      <c r="L1205" s="514"/>
      <c r="M1205" s="640"/>
      <c r="N1205" s="514"/>
      <c r="O1205" s="514"/>
    </row>
    <row r="1206" spans="3:15">
      <c r="C1206" s="505">
        <f>IF(D1165="","-",+C1205+1)</f>
        <v>2050</v>
      </c>
      <c r="D1206" s="469">
        <f t="shared" si="73"/>
        <v>216896.25</v>
      </c>
      <c r="E1206" s="511">
        <f t="shared" si="77"/>
        <v>28919.5</v>
      </c>
      <c r="F1206" s="469">
        <f t="shared" si="72"/>
        <v>187976.75</v>
      </c>
      <c r="G1206" s="935">
        <f t="shared" si="74"/>
        <v>59278.146239378781</v>
      </c>
      <c r="H1206" s="938">
        <f t="shared" si="75"/>
        <v>59278.146239378781</v>
      </c>
      <c r="I1206" s="509">
        <f t="shared" si="76"/>
        <v>0</v>
      </c>
      <c r="J1206" s="509"/>
      <c r="K1206" s="640"/>
      <c r="L1206" s="514"/>
      <c r="M1206" s="640"/>
      <c r="N1206" s="514"/>
      <c r="O1206" s="514"/>
    </row>
    <row r="1207" spans="3:15">
      <c r="C1207" s="505">
        <f>IF(D1165="","-",+C1206+1)</f>
        <v>2051</v>
      </c>
      <c r="D1207" s="469">
        <f t="shared" si="73"/>
        <v>187976.75</v>
      </c>
      <c r="E1207" s="511">
        <f t="shared" si="77"/>
        <v>28919.5</v>
      </c>
      <c r="F1207" s="469">
        <f t="shared" si="72"/>
        <v>159057.25</v>
      </c>
      <c r="G1207" s="935">
        <f t="shared" si="74"/>
        <v>54941.196776610377</v>
      </c>
      <c r="H1207" s="938">
        <f t="shared" si="75"/>
        <v>54941.196776610377</v>
      </c>
      <c r="I1207" s="509">
        <f t="shared" si="76"/>
        <v>0</v>
      </c>
      <c r="J1207" s="509"/>
      <c r="K1207" s="640"/>
      <c r="L1207" s="514"/>
      <c r="M1207" s="640"/>
      <c r="N1207" s="514"/>
      <c r="O1207" s="514"/>
    </row>
    <row r="1208" spans="3:15">
      <c r="C1208" s="505">
        <f>IF(D1165="","-",+C1207+1)</f>
        <v>2052</v>
      </c>
      <c r="D1208" s="469">
        <f t="shared" si="73"/>
        <v>159057.25</v>
      </c>
      <c r="E1208" s="511">
        <f t="shared" si="77"/>
        <v>28919.5</v>
      </c>
      <c r="F1208" s="469">
        <f t="shared" si="72"/>
        <v>130137.75</v>
      </c>
      <c r="G1208" s="935">
        <f t="shared" si="74"/>
        <v>50604.247313841988</v>
      </c>
      <c r="H1208" s="938">
        <f t="shared" si="75"/>
        <v>50604.247313841988</v>
      </c>
      <c r="I1208" s="509">
        <f t="shared" si="76"/>
        <v>0</v>
      </c>
      <c r="J1208" s="509"/>
      <c r="K1208" s="640"/>
      <c r="L1208" s="514"/>
      <c r="M1208" s="640"/>
      <c r="N1208" s="514"/>
      <c r="O1208" s="514"/>
    </row>
    <row r="1209" spans="3:15">
      <c r="C1209" s="505">
        <f>IF(D1165="","-",+C1208+1)</f>
        <v>2053</v>
      </c>
      <c r="D1209" s="469">
        <f t="shared" si="73"/>
        <v>130137.75</v>
      </c>
      <c r="E1209" s="511">
        <f t="shared" si="77"/>
        <v>28919.5</v>
      </c>
      <c r="F1209" s="469">
        <f t="shared" si="72"/>
        <v>101218.25</v>
      </c>
      <c r="G1209" s="935">
        <f t="shared" si="74"/>
        <v>46267.297851073585</v>
      </c>
      <c r="H1209" s="938">
        <f t="shared" si="75"/>
        <v>46267.297851073585</v>
      </c>
      <c r="I1209" s="509">
        <f t="shared" si="76"/>
        <v>0</v>
      </c>
      <c r="J1209" s="509"/>
      <c r="K1209" s="640"/>
      <c r="L1209" s="514"/>
      <c r="M1209" s="640"/>
      <c r="N1209" s="514"/>
      <c r="O1209" s="514"/>
    </row>
    <row r="1210" spans="3:15">
      <c r="C1210" s="505">
        <f>IF(D1165="","-",+C1209+1)</f>
        <v>2054</v>
      </c>
      <c r="D1210" s="469">
        <f t="shared" si="73"/>
        <v>101218.25</v>
      </c>
      <c r="E1210" s="511">
        <f t="shared" si="77"/>
        <v>28919.5</v>
      </c>
      <c r="F1210" s="469">
        <f t="shared" si="72"/>
        <v>72298.75</v>
      </c>
      <c r="G1210" s="935">
        <f t="shared" si="74"/>
        <v>41930.348388305189</v>
      </c>
      <c r="H1210" s="938">
        <f t="shared" si="75"/>
        <v>41930.348388305189</v>
      </c>
      <c r="I1210" s="509">
        <f t="shared" si="76"/>
        <v>0</v>
      </c>
      <c r="J1210" s="509"/>
      <c r="K1210" s="640"/>
      <c r="L1210" s="514"/>
      <c r="M1210" s="640"/>
      <c r="N1210" s="514"/>
      <c r="O1210" s="514"/>
    </row>
    <row r="1211" spans="3:15">
      <c r="C1211" s="505">
        <f>IF(D1165="","-",+C1210+1)</f>
        <v>2055</v>
      </c>
      <c r="D1211" s="469">
        <f t="shared" si="73"/>
        <v>72298.75</v>
      </c>
      <c r="E1211" s="511">
        <f t="shared" si="77"/>
        <v>28919.5</v>
      </c>
      <c r="F1211" s="469">
        <f t="shared" si="72"/>
        <v>43379.25</v>
      </c>
      <c r="G1211" s="935">
        <f t="shared" si="74"/>
        <v>37593.398925536792</v>
      </c>
      <c r="H1211" s="938">
        <f t="shared" si="75"/>
        <v>37593.398925536792</v>
      </c>
      <c r="I1211" s="509">
        <f t="shared" si="76"/>
        <v>0</v>
      </c>
      <c r="J1211" s="509"/>
      <c r="K1211" s="640"/>
      <c r="L1211" s="514"/>
      <c r="M1211" s="640"/>
      <c r="N1211" s="514"/>
      <c r="O1211" s="514"/>
    </row>
    <row r="1212" spans="3:15">
      <c r="C1212" s="505">
        <f>IF(D1165="","-",+C1211+1)</f>
        <v>2056</v>
      </c>
      <c r="D1212" s="469">
        <f t="shared" si="73"/>
        <v>43379.25</v>
      </c>
      <c r="E1212" s="511">
        <f t="shared" si="77"/>
        <v>28919.5</v>
      </c>
      <c r="F1212" s="469">
        <f t="shared" si="72"/>
        <v>14459.75</v>
      </c>
      <c r="G1212" s="935">
        <f t="shared" si="74"/>
        <v>33256.449462768396</v>
      </c>
      <c r="H1212" s="938">
        <f t="shared" si="75"/>
        <v>33256.449462768396</v>
      </c>
      <c r="I1212" s="509">
        <f t="shared" si="76"/>
        <v>0</v>
      </c>
      <c r="J1212" s="509"/>
      <c r="K1212" s="640"/>
      <c r="L1212" s="514"/>
      <c r="M1212" s="640"/>
      <c r="N1212" s="514"/>
      <c r="O1212" s="514"/>
    </row>
    <row r="1213" spans="3:15">
      <c r="C1213" s="505">
        <f>IF(D1165="","-",+C1212+1)</f>
        <v>2057</v>
      </c>
      <c r="D1213" s="469">
        <f t="shared" si="73"/>
        <v>14459.75</v>
      </c>
      <c r="E1213" s="511">
        <f t="shared" si="77"/>
        <v>14459.75</v>
      </c>
      <c r="F1213" s="469">
        <f t="shared" si="72"/>
        <v>0</v>
      </c>
      <c r="G1213" s="935">
        <f t="shared" si="74"/>
        <v>15543.987365692099</v>
      </c>
      <c r="H1213" s="938">
        <f t="shared" si="75"/>
        <v>15543.987365692099</v>
      </c>
      <c r="I1213" s="509">
        <f t="shared" si="76"/>
        <v>0</v>
      </c>
      <c r="J1213" s="509"/>
      <c r="K1213" s="640"/>
      <c r="L1213" s="514"/>
      <c r="M1213" s="640"/>
      <c r="N1213" s="514"/>
      <c r="O1213" s="514"/>
    </row>
    <row r="1214" spans="3:15">
      <c r="C1214" s="505">
        <f>IF(D1165="","-",+C1213+1)</f>
        <v>2058</v>
      </c>
      <c r="D1214" s="469">
        <f t="shared" si="73"/>
        <v>0</v>
      </c>
      <c r="E1214" s="511">
        <f t="shared" si="77"/>
        <v>0</v>
      </c>
      <c r="F1214" s="469">
        <f t="shared" si="72"/>
        <v>0</v>
      </c>
      <c r="G1214" s="935">
        <f t="shared" si="74"/>
        <v>0</v>
      </c>
      <c r="H1214" s="938">
        <f t="shared" si="75"/>
        <v>0</v>
      </c>
      <c r="I1214" s="509">
        <f t="shared" si="76"/>
        <v>0</v>
      </c>
      <c r="J1214" s="509"/>
      <c r="K1214" s="640"/>
      <c r="L1214" s="514"/>
      <c r="M1214" s="640"/>
      <c r="N1214" s="514"/>
      <c r="O1214" s="514"/>
    </row>
    <row r="1215" spans="3:15">
      <c r="C1215" s="505">
        <f>IF(D1165="","-",+C1214+1)</f>
        <v>2059</v>
      </c>
      <c r="D1215" s="469">
        <f t="shared" si="73"/>
        <v>0</v>
      </c>
      <c r="E1215" s="511">
        <f t="shared" si="77"/>
        <v>0</v>
      </c>
      <c r="F1215" s="469">
        <f t="shared" si="72"/>
        <v>0</v>
      </c>
      <c r="G1215" s="935">
        <f t="shared" si="74"/>
        <v>0</v>
      </c>
      <c r="H1215" s="938">
        <f t="shared" si="75"/>
        <v>0</v>
      </c>
      <c r="I1215" s="509">
        <f t="shared" si="76"/>
        <v>0</v>
      </c>
      <c r="J1215" s="509"/>
      <c r="K1215" s="640"/>
      <c r="L1215" s="514"/>
      <c r="M1215" s="640"/>
      <c r="N1215" s="514"/>
      <c r="O1215" s="514"/>
    </row>
    <row r="1216" spans="3:15">
      <c r="C1216" s="505">
        <f>IF(D1165="","-",+C1215+1)</f>
        <v>2060</v>
      </c>
      <c r="D1216" s="469">
        <f t="shared" si="73"/>
        <v>0</v>
      </c>
      <c r="E1216" s="511">
        <f t="shared" si="77"/>
        <v>0</v>
      </c>
      <c r="F1216" s="469">
        <f t="shared" si="72"/>
        <v>0</v>
      </c>
      <c r="G1216" s="935">
        <f t="shared" si="74"/>
        <v>0</v>
      </c>
      <c r="H1216" s="938">
        <f t="shared" si="75"/>
        <v>0</v>
      </c>
      <c r="I1216" s="509">
        <f t="shared" si="76"/>
        <v>0</v>
      </c>
      <c r="J1216" s="509"/>
      <c r="K1216" s="640"/>
      <c r="L1216" s="514"/>
      <c r="M1216" s="640"/>
      <c r="N1216" s="514"/>
      <c r="O1216" s="514"/>
    </row>
    <row r="1217" spans="3:15">
      <c r="C1217" s="505">
        <f>IF(D1165="","-",+C1216+1)</f>
        <v>2061</v>
      </c>
      <c r="D1217" s="469">
        <f t="shared" si="73"/>
        <v>0</v>
      </c>
      <c r="E1217" s="511">
        <f t="shared" si="77"/>
        <v>0</v>
      </c>
      <c r="F1217" s="469">
        <f t="shared" si="72"/>
        <v>0</v>
      </c>
      <c r="G1217" s="935">
        <f t="shared" si="74"/>
        <v>0</v>
      </c>
      <c r="H1217" s="938">
        <f t="shared" si="75"/>
        <v>0</v>
      </c>
      <c r="I1217" s="509">
        <f t="shared" si="76"/>
        <v>0</v>
      </c>
      <c r="J1217" s="509"/>
      <c r="K1217" s="640"/>
      <c r="L1217" s="514"/>
      <c r="M1217" s="640"/>
      <c r="N1217" s="514"/>
      <c r="O1217" s="514"/>
    </row>
    <row r="1218" spans="3:15">
      <c r="C1218" s="505">
        <f>IF(D1165="","-",+C1217+1)</f>
        <v>2062</v>
      </c>
      <c r="D1218" s="469">
        <f t="shared" si="73"/>
        <v>0</v>
      </c>
      <c r="E1218" s="511">
        <f t="shared" si="77"/>
        <v>0</v>
      </c>
      <c r="F1218" s="469">
        <f t="shared" si="72"/>
        <v>0</v>
      </c>
      <c r="G1218" s="935">
        <f t="shared" si="74"/>
        <v>0</v>
      </c>
      <c r="H1218" s="938">
        <f t="shared" si="75"/>
        <v>0</v>
      </c>
      <c r="I1218" s="509">
        <f t="shared" si="76"/>
        <v>0</v>
      </c>
      <c r="J1218" s="509"/>
      <c r="K1218" s="640"/>
      <c r="L1218" s="514"/>
      <c r="M1218" s="640"/>
      <c r="N1218" s="514"/>
      <c r="O1218" s="514"/>
    </row>
    <row r="1219" spans="3:15">
      <c r="C1219" s="505">
        <f>IF(D1165="","-",+C1218+1)</f>
        <v>2063</v>
      </c>
      <c r="D1219" s="469">
        <f t="shared" si="73"/>
        <v>0</v>
      </c>
      <c r="E1219" s="511">
        <f t="shared" si="77"/>
        <v>0</v>
      </c>
      <c r="F1219" s="469">
        <f t="shared" si="72"/>
        <v>0</v>
      </c>
      <c r="G1219" s="935">
        <f t="shared" si="74"/>
        <v>0</v>
      </c>
      <c r="H1219" s="938">
        <f t="shared" si="75"/>
        <v>0</v>
      </c>
      <c r="I1219" s="509">
        <f t="shared" si="76"/>
        <v>0</v>
      </c>
      <c r="J1219" s="509"/>
      <c r="K1219" s="640"/>
      <c r="L1219" s="514"/>
      <c r="M1219" s="640"/>
      <c r="N1219" s="514"/>
      <c r="O1219" s="514"/>
    </row>
    <row r="1220" spans="3:15">
      <c r="C1220" s="505">
        <f>IF(D1165="","-",+C1219+1)</f>
        <v>2064</v>
      </c>
      <c r="D1220" s="469">
        <f t="shared" si="73"/>
        <v>0</v>
      </c>
      <c r="E1220" s="511">
        <f t="shared" si="77"/>
        <v>0</v>
      </c>
      <c r="F1220" s="469">
        <f t="shared" si="72"/>
        <v>0</v>
      </c>
      <c r="G1220" s="935">
        <f t="shared" si="74"/>
        <v>0</v>
      </c>
      <c r="H1220" s="938">
        <f t="shared" si="75"/>
        <v>0</v>
      </c>
      <c r="I1220" s="509">
        <f t="shared" si="76"/>
        <v>0</v>
      </c>
      <c r="J1220" s="509"/>
      <c r="K1220" s="640"/>
      <c r="L1220" s="514"/>
      <c r="M1220" s="640"/>
      <c r="N1220" s="514"/>
      <c r="O1220" s="514"/>
    </row>
    <row r="1221" spans="3:15">
      <c r="C1221" s="505">
        <f>IF(D1165="","-",+C1220+1)</f>
        <v>2065</v>
      </c>
      <c r="D1221" s="469">
        <f t="shared" si="73"/>
        <v>0</v>
      </c>
      <c r="E1221" s="511">
        <f t="shared" si="77"/>
        <v>0</v>
      </c>
      <c r="F1221" s="469">
        <f t="shared" si="72"/>
        <v>0</v>
      </c>
      <c r="G1221" s="935">
        <f t="shared" si="74"/>
        <v>0</v>
      </c>
      <c r="H1221" s="938">
        <f t="shared" si="75"/>
        <v>0</v>
      </c>
      <c r="I1221" s="509">
        <f t="shared" si="76"/>
        <v>0</v>
      </c>
      <c r="J1221" s="509"/>
      <c r="K1221" s="640"/>
      <c r="L1221" s="514"/>
      <c r="M1221" s="640"/>
      <c r="N1221" s="514"/>
      <c r="O1221" s="514"/>
    </row>
    <row r="1222" spans="3:15">
      <c r="C1222" s="505">
        <f>IF(D1165="","-",+C1221+1)</f>
        <v>2066</v>
      </c>
      <c r="D1222" s="469">
        <f t="shared" si="73"/>
        <v>0</v>
      </c>
      <c r="E1222" s="511">
        <f t="shared" si="77"/>
        <v>0</v>
      </c>
      <c r="F1222" s="469">
        <f t="shared" si="72"/>
        <v>0</v>
      </c>
      <c r="G1222" s="935">
        <f t="shared" si="74"/>
        <v>0</v>
      </c>
      <c r="H1222" s="938">
        <f t="shared" si="75"/>
        <v>0</v>
      </c>
      <c r="I1222" s="509">
        <f t="shared" si="76"/>
        <v>0</v>
      </c>
      <c r="J1222" s="509"/>
      <c r="K1222" s="640"/>
      <c r="L1222" s="514"/>
      <c r="M1222" s="640"/>
      <c r="N1222" s="514"/>
      <c r="O1222" s="514"/>
    </row>
    <row r="1223" spans="3:15">
      <c r="C1223" s="505">
        <f>IF(D1165="","-",+C1222+1)</f>
        <v>2067</v>
      </c>
      <c r="D1223" s="469">
        <f t="shared" si="73"/>
        <v>0</v>
      </c>
      <c r="E1223" s="511">
        <f t="shared" si="77"/>
        <v>0</v>
      </c>
      <c r="F1223" s="469">
        <f t="shared" si="72"/>
        <v>0</v>
      </c>
      <c r="G1223" s="935">
        <f t="shared" si="74"/>
        <v>0</v>
      </c>
      <c r="H1223" s="938">
        <f t="shared" si="75"/>
        <v>0</v>
      </c>
      <c r="I1223" s="509">
        <f t="shared" si="76"/>
        <v>0</v>
      </c>
      <c r="J1223" s="509"/>
      <c r="K1223" s="640"/>
      <c r="L1223" s="514"/>
      <c r="M1223" s="640"/>
      <c r="N1223" s="514"/>
      <c r="O1223" s="514"/>
    </row>
    <row r="1224" spans="3:15">
      <c r="C1224" s="505">
        <f>IF(D1165="","-",+C1223+1)</f>
        <v>2068</v>
      </c>
      <c r="D1224" s="469">
        <f t="shared" si="73"/>
        <v>0</v>
      </c>
      <c r="E1224" s="511">
        <f t="shared" si="77"/>
        <v>0</v>
      </c>
      <c r="F1224" s="469">
        <f t="shared" si="72"/>
        <v>0</v>
      </c>
      <c r="G1224" s="935">
        <f t="shared" si="74"/>
        <v>0</v>
      </c>
      <c r="H1224" s="938">
        <f t="shared" si="75"/>
        <v>0</v>
      </c>
      <c r="I1224" s="509">
        <f t="shared" si="76"/>
        <v>0</v>
      </c>
      <c r="J1224" s="509"/>
      <c r="K1224" s="640"/>
      <c r="L1224" s="514"/>
      <c r="M1224" s="640"/>
      <c r="N1224" s="514"/>
      <c r="O1224" s="514"/>
    </row>
    <row r="1225" spans="3:15">
      <c r="C1225" s="505">
        <f>IF(D1165="","-",+C1224+1)</f>
        <v>2069</v>
      </c>
      <c r="D1225" s="469">
        <f t="shared" si="73"/>
        <v>0</v>
      </c>
      <c r="E1225" s="511">
        <f t="shared" si="77"/>
        <v>0</v>
      </c>
      <c r="F1225" s="469">
        <f t="shared" si="72"/>
        <v>0</v>
      </c>
      <c r="G1225" s="935">
        <f t="shared" si="74"/>
        <v>0</v>
      </c>
      <c r="H1225" s="938">
        <f t="shared" si="75"/>
        <v>0</v>
      </c>
      <c r="I1225" s="509">
        <f t="shared" si="76"/>
        <v>0</v>
      </c>
      <c r="J1225" s="509"/>
      <c r="K1225" s="640"/>
      <c r="L1225" s="514"/>
      <c r="M1225" s="640"/>
      <c r="N1225" s="514"/>
      <c r="O1225" s="514"/>
    </row>
    <row r="1226" spans="3:15">
      <c r="C1226" s="505">
        <f>IF(D1165="","-",+C1225+1)</f>
        <v>2070</v>
      </c>
      <c r="D1226" s="469">
        <f t="shared" si="73"/>
        <v>0</v>
      </c>
      <c r="E1226" s="511">
        <f t="shared" si="77"/>
        <v>0</v>
      </c>
      <c r="F1226" s="469">
        <f t="shared" si="72"/>
        <v>0</v>
      </c>
      <c r="G1226" s="935">
        <f t="shared" si="74"/>
        <v>0</v>
      </c>
      <c r="H1226" s="938">
        <f t="shared" si="75"/>
        <v>0</v>
      </c>
      <c r="I1226" s="509">
        <f t="shared" si="76"/>
        <v>0</v>
      </c>
      <c r="J1226" s="509"/>
      <c r="K1226" s="640"/>
      <c r="L1226" s="514"/>
      <c r="M1226" s="640"/>
      <c r="N1226" s="514"/>
      <c r="O1226" s="514"/>
    </row>
    <row r="1227" spans="3:15">
      <c r="C1227" s="505">
        <f>IF(D1165="","-",+C1226+1)</f>
        <v>2071</v>
      </c>
      <c r="D1227" s="469">
        <f t="shared" si="73"/>
        <v>0</v>
      </c>
      <c r="E1227" s="511">
        <f t="shared" si="77"/>
        <v>0</v>
      </c>
      <c r="F1227" s="469">
        <f t="shared" si="72"/>
        <v>0</v>
      </c>
      <c r="G1227" s="935">
        <f t="shared" si="74"/>
        <v>0</v>
      </c>
      <c r="H1227" s="938">
        <f t="shared" si="75"/>
        <v>0</v>
      </c>
      <c r="I1227" s="509">
        <f t="shared" si="76"/>
        <v>0</v>
      </c>
      <c r="J1227" s="509"/>
      <c r="K1227" s="640"/>
      <c r="L1227" s="514"/>
      <c r="M1227" s="640"/>
      <c r="N1227" s="514"/>
      <c r="O1227" s="514"/>
    </row>
    <row r="1228" spans="3:15">
      <c r="C1228" s="505">
        <f>IF(D1165="","-",+C1227+1)</f>
        <v>2072</v>
      </c>
      <c r="D1228" s="469">
        <f t="shared" si="73"/>
        <v>0</v>
      </c>
      <c r="E1228" s="511">
        <f t="shared" si="77"/>
        <v>0</v>
      </c>
      <c r="F1228" s="469">
        <f t="shared" si="72"/>
        <v>0</v>
      </c>
      <c r="G1228" s="935">
        <f t="shared" si="74"/>
        <v>0</v>
      </c>
      <c r="H1228" s="938">
        <f t="shared" si="75"/>
        <v>0</v>
      </c>
      <c r="I1228" s="509">
        <f t="shared" si="76"/>
        <v>0</v>
      </c>
      <c r="J1228" s="509"/>
      <c r="K1228" s="640"/>
      <c r="L1228" s="514"/>
      <c r="M1228" s="640"/>
      <c r="N1228" s="514"/>
      <c r="O1228" s="514"/>
    </row>
    <row r="1229" spans="3:15">
      <c r="C1229" s="505">
        <f>IF(D1165="","-",+C1228+1)</f>
        <v>2073</v>
      </c>
      <c r="D1229" s="469">
        <f t="shared" si="73"/>
        <v>0</v>
      </c>
      <c r="E1229" s="511">
        <f t="shared" si="77"/>
        <v>0</v>
      </c>
      <c r="F1229" s="469">
        <f t="shared" si="72"/>
        <v>0</v>
      </c>
      <c r="G1229" s="935">
        <f t="shared" si="74"/>
        <v>0</v>
      </c>
      <c r="H1229" s="938">
        <f t="shared" si="75"/>
        <v>0</v>
      </c>
      <c r="I1229" s="509">
        <f t="shared" si="76"/>
        <v>0</v>
      </c>
      <c r="J1229" s="509"/>
      <c r="K1229" s="640"/>
      <c r="L1229" s="514"/>
      <c r="M1229" s="640"/>
      <c r="N1229" s="514"/>
      <c r="O1229" s="514"/>
    </row>
    <row r="1230" spans="3:15" ht="13.5" thickBot="1">
      <c r="C1230" s="515">
        <f>IF(D1165="","-",+C1229+1)</f>
        <v>2074</v>
      </c>
      <c r="D1230" s="516">
        <f t="shared" si="73"/>
        <v>0</v>
      </c>
      <c r="E1230" s="517">
        <f t="shared" si="77"/>
        <v>0</v>
      </c>
      <c r="F1230" s="516">
        <f t="shared" si="72"/>
        <v>0</v>
      </c>
      <c r="G1230" s="946">
        <f t="shared" si="74"/>
        <v>0</v>
      </c>
      <c r="H1230" s="946">
        <f t="shared" si="75"/>
        <v>0</v>
      </c>
      <c r="I1230" s="519">
        <f t="shared" si="76"/>
        <v>0</v>
      </c>
      <c r="J1230" s="509"/>
      <c r="K1230" s="641"/>
      <c r="L1230" s="521"/>
      <c r="M1230" s="641"/>
      <c r="N1230" s="521"/>
      <c r="O1230" s="521"/>
    </row>
    <row r="1231" spans="3:15">
      <c r="C1231" s="469" t="s">
        <v>288</v>
      </c>
      <c r="D1231" s="915"/>
      <c r="E1231" s="469"/>
      <c r="F1231" s="915"/>
      <c r="G1231" s="915">
        <f>SUM(G1171:G1230)</f>
        <v>5130884.3648798624</v>
      </c>
      <c r="H1231" s="915">
        <f>SUM(H1171:H1230)</f>
        <v>5130884.3648798624</v>
      </c>
      <c r="I1231" s="915">
        <f>SUM(I1171:I1230)</f>
        <v>0</v>
      </c>
      <c r="J1231" s="915"/>
      <c r="K1231" s="915"/>
      <c r="L1231" s="915"/>
      <c r="M1231" s="915"/>
      <c r="N1231" s="915"/>
      <c r="O1231" s="4"/>
    </row>
    <row r="1232" spans="3:15">
      <c r="D1232" s="79"/>
      <c r="E1232" s="4"/>
      <c r="F1232" s="4"/>
      <c r="G1232" s="4"/>
      <c r="H1232" s="914"/>
      <c r="I1232" s="914"/>
      <c r="J1232" s="915"/>
      <c r="K1232" s="914"/>
      <c r="L1232" s="914"/>
      <c r="M1232" s="914"/>
      <c r="N1232" s="914"/>
      <c r="O1232" s="4"/>
    </row>
    <row r="1233" spans="1:16">
      <c r="C1233" s="4" t="s">
        <v>595</v>
      </c>
      <c r="D1233" s="79"/>
      <c r="E1233" s="4"/>
      <c r="F1233" s="4"/>
      <c r="G1233" s="4"/>
      <c r="H1233" s="914"/>
      <c r="I1233" s="914"/>
      <c r="J1233" s="915"/>
      <c r="K1233" s="914"/>
      <c r="L1233" s="914"/>
      <c r="M1233" s="914"/>
      <c r="N1233" s="914"/>
      <c r="O1233" s="4"/>
    </row>
    <row r="1234" spans="1:16">
      <c r="C1234" s="4"/>
      <c r="D1234" s="79"/>
      <c r="E1234" s="4"/>
      <c r="F1234" s="4"/>
      <c r="G1234" s="4"/>
      <c r="H1234" s="914"/>
      <c r="I1234" s="914"/>
      <c r="J1234" s="915"/>
      <c r="K1234" s="914"/>
      <c r="L1234" s="914"/>
      <c r="M1234" s="914"/>
      <c r="N1234" s="914"/>
      <c r="O1234" s="4"/>
    </row>
    <row r="1235" spans="1:16">
      <c r="C1235" s="479" t="s">
        <v>924</v>
      </c>
      <c r="D1235" s="469"/>
      <c r="E1235" s="469"/>
      <c r="F1235" s="469"/>
      <c r="G1235" s="915"/>
      <c r="H1235" s="915"/>
      <c r="I1235" s="471"/>
      <c r="J1235" s="471"/>
      <c r="K1235" s="471"/>
      <c r="L1235" s="471"/>
      <c r="M1235" s="471"/>
      <c r="N1235" s="471"/>
      <c r="O1235" s="4"/>
    </row>
    <row r="1236" spans="1:16">
      <c r="C1236" s="479" t="s">
        <v>476</v>
      </c>
      <c r="D1236" s="469"/>
      <c r="E1236" s="469"/>
      <c r="F1236" s="469"/>
      <c r="G1236" s="915"/>
      <c r="H1236" s="915"/>
      <c r="I1236" s="471"/>
      <c r="J1236" s="471"/>
      <c r="K1236" s="471"/>
      <c r="L1236" s="471"/>
      <c r="M1236" s="471"/>
      <c r="N1236" s="471"/>
      <c r="O1236" s="4"/>
    </row>
    <row r="1237" spans="1:16">
      <c r="C1237" s="470" t="s">
        <v>289</v>
      </c>
      <c r="D1237" s="469"/>
      <c r="E1237" s="469"/>
      <c r="F1237" s="469"/>
      <c r="G1237" s="915"/>
      <c r="H1237" s="915"/>
      <c r="I1237" s="471"/>
      <c r="J1237" s="471"/>
      <c r="K1237" s="471"/>
      <c r="L1237" s="471"/>
      <c r="M1237" s="471"/>
      <c r="N1237" s="471"/>
      <c r="O1237" s="4"/>
    </row>
    <row r="1238" spans="1:16">
      <c r="C1238" s="470"/>
      <c r="D1238" s="469"/>
      <c r="E1238" s="469"/>
      <c r="F1238" s="469"/>
      <c r="G1238" s="915"/>
      <c r="H1238" s="915"/>
      <c r="I1238" s="471"/>
      <c r="J1238" s="471"/>
      <c r="K1238" s="471"/>
      <c r="L1238" s="471"/>
      <c r="M1238" s="471"/>
      <c r="N1238" s="471"/>
      <c r="O1238" s="4"/>
    </row>
    <row r="1239" spans="1:16">
      <c r="C1239" s="1275" t="s">
        <v>460</v>
      </c>
      <c r="D1239" s="1275"/>
      <c r="E1239" s="1275"/>
      <c r="F1239" s="1275"/>
      <c r="G1239" s="1275"/>
      <c r="H1239" s="1275"/>
      <c r="I1239" s="1275"/>
      <c r="J1239" s="1275"/>
      <c r="K1239" s="1275"/>
      <c r="L1239" s="1275"/>
      <c r="M1239" s="1275"/>
      <c r="N1239" s="1275"/>
      <c r="O1239" s="1275"/>
    </row>
    <row r="1240" spans="1:16">
      <c r="C1240" s="1275"/>
      <c r="D1240" s="1275"/>
      <c r="E1240" s="1275"/>
      <c r="F1240" s="1275"/>
      <c r="G1240" s="1275"/>
      <c r="H1240" s="1275"/>
      <c r="I1240" s="1275"/>
      <c r="J1240" s="1275"/>
      <c r="K1240" s="1275"/>
      <c r="L1240" s="1275"/>
      <c r="M1240" s="1275"/>
      <c r="N1240" s="1275"/>
      <c r="O1240" s="1275"/>
    </row>
    <row r="1241" spans="1:16" ht="20.25">
      <c r="A1241" s="411" t="s">
        <v>921</v>
      </c>
      <c r="B1241" s="4"/>
      <c r="C1241" s="4"/>
      <c r="D1241" s="79"/>
      <c r="E1241" s="4"/>
      <c r="F1241" s="81"/>
      <c r="G1241" s="4"/>
      <c r="H1241" s="914"/>
      <c r="K1241" s="11"/>
      <c r="L1241" s="11"/>
      <c r="M1241" s="11"/>
      <c r="N1241" s="11" t="str">
        <f>"Page "&amp;SUM(P$6:P1241)&amp;" of "</f>
        <v xml:space="preserve">Page 14 of </v>
      </c>
      <c r="O1241" s="412">
        <f>COUNT(P$6:P$59579)</f>
        <v>22</v>
      </c>
      <c r="P1241" s="4">
        <v>1</v>
      </c>
    </row>
    <row r="1242" spans="1:16">
      <c r="B1242" s="4"/>
      <c r="C1242" s="4"/>
      <c r="D1242" s="79"/>
      <c r="E1242" s="4"/>
      <c r="F1242" s="4"/>
      <c r="G1242" s="4"/>
      <c r="H1242" s="914"/>
      <c r="I1242" s="4"/>
      <c r="J1242" s="4"/>
      <c r="K1242" s="4"/>
      <c r="L1242" s="4"/>
      <c r="M1242" s="4"/>
      <c r="N1242" s="4"/>
      <c r="O1242" s="4"/>
    </row>
    <row r="1243" spans="1:16" ht="18">
      <c r="B1243" s="413" t="s">
        <v>174</v>
      </c>
      <c r="C1243" s="472" t="s">
        <v>290</v>
      </c>
      <c r="D1243" s="79"/>
      <c r="E1243" s="4"/>
      <c r="F1243" s="4"/>
      <c r="G1243" s="4"/>
      <c r="H1243" s="914"/>
      <c r="I1243" s="914"/>
      <c r="J1243" s="915"/>
      <c r="K1243" s="914"/>
      <c r="L1243" s="914"/>
      <c r="M1243" s="914"/>
      <c r="N1243" s="914"/>
      <c r="O1243" s="4"/>
    </row>
    <row r="1244" spans="1:16" ht="18.75">
      <c r="B1244" s="413"/>
      <c r="C1244" s="13"/>
      <c r="D1244" s="79"/>
      <c r="E1244" s="4"/>
      <c r="F1244" s="4"/>
      <c r="G1244" s="4"/>
      <c r="H1244" s="914"/>
      <c r="I1244" s="914"/>
      <c r="J1244" s="915"/>
      <c r="K1244" s="914"/>
      <c r="L1244" s="914"/>
      <c r="M1244" s="914"/>
      <c r="N1244" s="914"/>
      <c r="O1244" s="4"/>
    </row>
    <row r="1245" spans="1:16" ht="18.75">
      <c r="B1245" s="413"/>
      <c r="C1245" s="13" t="s">
        <v>291</v>
      </c>
      <c r="D1245" s="79"/>
      <c r="E1245" s="4"/>
      <c r="F1245" s="4"/>
      <c r="G1245" s="4"/>
      <c r="H1245" s="914"/>
      <c r="I1245" s="914"/>
      <c r="J1245" s="915"/>
      <c r="K1245" s="914"/>
      <c r="L1245" s="914"/>
      <c r="M1245" s="914"/>
      <c r="N1245" s="914"/>
      <c r="O1245" s="4"/>
    </row>
    <row r="1246" spans="1:16" ht="15.75" thickBot="1">
      <c r="C1246" s="247"/>
      <c r="D1246" s="79"/>
      <c r="E1246" s="4"/>
      <c r="F1246" s="4"/>
      <c r="G1246" s="4"/>
      <c r="H1246" s="914"/>
      <c r="I1246" s="914"/>
      <c r="J1246" s="915"/>
      <c r="K1246" s="914"/>
      <c r="L1246" s="914"/>
      <c r="M1246" s="914"/>
      <c r="N1246" s="914"/>
      <c r="O1246" s="4"/>
    </row>
    <row r="1247" spans="1:16" ht="15.75">
      <c r="C1247" s="414" t="s">
        <v>292</v>
      </c>
      <c r="D1247" s="79"/>
      <c r="E1247" s="4"/>
      <c r="F1247" s="4"/>
      <c r="G1247" s="948"/>
      <c r="H1247" s="4" t="s">
        <v>271</v>
      </c>
      <c r="I1247" s="4"/>
      <c r="J1247" s="4"/>
      <c r="K1247" s="473" t="s">
        <v>296</v>
      </c>
      <c r="L1247" s="474"/>
      <c r="M1247" s="475"/>
      <c r="N1247" s="917">
        <f>VLOOKUP(I1253,C1260:O1319,5)</f>
        <v>504294.55773004773</v>
      </c>
      <c r="O1247" s="4"/>
    </row>
    <row r="1248" spans="1:16" ht="15.75">
      <c r="C1248" s="414"/>
      <c r="D1248" s="79"/>
      <c r="E1248" s="4"/>
      <c r="F1248" s="4"/>
      <c r="G1248" s="4"/>
      <c r="H1248" s="918"/>
      <c r="I1248" s="918"/>
      <c r="J1248" s="919"/>
      <c r="K1248" s="478" t="s">
        <v>297</v>
      </c>
      <c r="L1248" s="920"/>
      <c r="M1248" s="4"/>
      <c r="N1248" s="921">
        <f>VLOOKUP(I1253,C1260:O1319,6)</f>
        <v>504294.55773004773</v>
      </c>
      <c r="O1248" s="4"/>
    </row>
    <row r="1249" spans="1:15" ht="13.5" thickBot="1">
      <c r="C1249" s="479" t="s">
        <v>293</v>
      </c>
      <c r="D1249" s="956" t="s">
        <v>937</v>
      </c>
      <c r="E1249" s="953"/>
      <c r="F1249" s="953"/>
      <c r="G1249" s="953"/>
      <c r="H1249" s="643"/>
      <c r="I1249" s="643"/>
      <c r="J1249" s="915"/>
      <c r="K1249" s="922" t="s">
        <v>450</v>
      </c>
      <c r="L1249" s="923"/>
      <c r="M1249" s="923"/>
      <c r="N1249" s="924">
        <f>+N1248-N1247</f>
        <v>0</v>
      </c>
      <c r="O1249" s="4"/>
    </row>
    <row r="1250" spans="1:15">
      <c r="C1250" s="481"/>
      <c r="D1250" s="482"/>
      <c r="E1250" s="469"/>
      <c r="F1250" s="469"/>
      <c r="G1250" s="483"/>
      <c r="H1250" s="914"/>
      <c r="I1250" s="914"/>
      <c r="J1250" s="915"/>
      <c r="K1250" s="914"/>
      <c r="L1250" s="914"/>
      <c r="M1250" s="914"/>
      <c r="N1250" s="914"/>
      <c r="O1250" s="4"/>
    </row>
    <row r="1251" spans="1:15" ht="13.5" thickBot="1">
      <c r="C1251" s="481"/>
      <c r="D1251" s="925"/>
      <c r="E1251" s="483"/>
      <c r="F1251" s="483"/>
      <c r="G1251" s="483"/>
      <c r="H1251" s="483"/>
      <c r="I1251" s="483"/>
      <c r="J1251" s="483"/>
      <c r="K1251" s="483"/>
      <c r="L1251" s="483"/>
      <c r="M1251" s="483"/>
      <c r="N1251" s="483"/>
      <c r="O1251" s="4"/>
    </row>
    <row r="1252" spans="1:15" ht="13.5" thickBot="1">
      <c r="C1252" s="484" t="s">
        <v>294</v>
      </c>
      <c r="D1252" s="485"/>
      <c r="E1252" s="485"/>
      <c r="F1252" s="485"/>
      <c r="G1252" s="485"/>
      <c r="H1252" s="485"/>
      <c r="I1252" s="486"/>
      <c r="K1252" s="4"/>
      <c r="L1252" s="4"/>
      <c r="M1252" s="4"/>
      <c r="N1252" s="4"/>
      <c r="O1252" s="4"/>
    </row>
    <row r="1253" spans="1:15" ht="15">
      <c r="C1253" s="487" t="s">
        <v>272</v>
      </c>
      <c r="D1253" s="926">
        <v>3059126</v>
      </c>
      <c r="E1253" s="4" t="s">
        <v>273</v>
      </c>
      <c r="G1253" s="79"/>
      <c r="H1253" s="79"/>
      <c r="I1253" s="488">
        <v>2018</v>
      </c>
      <c r="J1253" s="135"/>
      <c r="K1253" s="1277" t="s">
        <v>459</v>
      </c>
      <c r="L1253" s="1277"/>
      <c r="M1253" s="1277"/>
      <c r="N1253" s="1277"/>
      <c r="O1253" s="1277"/>
    </row>
    <row r="1254" spans="1:15">
      <c r="C1254" s="487" t="s">
        <v>275</v>
      </c>
      <c r="D1254" s="636">
        <v>2015</v>
      </c>
      <c r="E1254" s="487" t="s">
        <v>276</v>
      </c>
      <c r="F1254" s="79"/>
      <c r="H1254"/>
      <c r="I1254" s="927">
        <f>IF(G1247="",0,$F$15)</f>
        <v>0</v>
      </c>
      <c r="J1254" s="489"/>
      <c r="K1254" s="915" t="s">
        <v>459</v>
      </c>
    </row>
    <row r="1255" spans="1:15">
      <c r="C1255" s="487" t="s">
        <v>277</v>
      </c>
      <c r="D1255" s="926">
        <v>12</v>
      </c>
      <c r="E1255" s="487" t="s">
        <v>278</v>
      </c>
      <c r="F1255" s="79"/>
      <c r="H1255"/>
      <c r="I1255" s="490">
        <f>$G$70</f>
        <v>0.14996626714737105</v>
      </c>
      <c r="J1255" s="81"/>
      <c r="K1255" t="str">
        <f>"          INPUT PROJECTED ARR (WITH &amp; WITHOUT INCENTIVES) FROM EACH PRIOR YEAR"</f>
        <v xml:space="preserve">          INPUT PROJECTED ARR (WITH &amp; WITHOUT INCENTIVES) FROM EACH PRIOR YEAR</v>
      </c>
    </row>
    <row r="1256" spans="1:15">
      <c r="C1256" s="487" t="s">
        <v>279</v>
      </c>
      <c r="D1256" s="491">
        <f>G$79</f>
        <v>42</v>
      </c>
      <c r="E1256" s="487" t="s">
        <v>280</v>
      </c>
      <c r="F1256" s="79"/>
      <c r="H1256"/>
      <c r="I1256" s="490">
        <f>IF(G1247="",I1255,$G$67)</f>
        <v>0.14996626714737105</v>
      </c>
      <c r="J1256" s="81"/>
      <c r="K1256" t="s">
        <v>357</v>
      </c>
    </row>
    <row r="1257" spans="1:15" ht="13.5" thickBot="1">
      <c r="C1257" s="487" t="s">
        <v>281</v>
      </c>
      <c r="D1257" s="637" t="s">
        <v>923</v>
      </c>
      <c r="E1257" s="492" t="s">
        <v>282</v>
      </c>
      <c r="F1257" s="493"/>
      <c r="G1257" s="494"/>
      <c r="H1257" s="494"/>
      <c r="I1257" s="924">
        <f>IF(D1253=0,0,D1253/D1256)</f>
        <v>72836.333333333328</v>
      </c>
      <c r="J1257" s="915"/>
      <c r="K1257" s="915" t="s">
        <v>363</v>
      </c>
      <c r="L1257" s="915"/>
      <c r="M1257" s="915"/>
      <c r="N1257" s="915"/>
      <c r="O1257" s="4"/>
    </row>
    <row r="1258" spans="1:15" ht="51">
      <c r="A1258" s="12"/>
      <c r="B1258" s="12"/>
      <c r="C1258" s="495" t="s">
        <v>272</v>
      </c>
      <c r="D1258" s="928" t="s">
        <v>283</v>
      </c>
      <c r="E1258" s="929" t="s">
        <v>284</v>
      </c>
      <c r="F1258" s="928" t="s">
        <v>285</v>
      </c>
      <c r="G1258" s="929" t="s">
        <v>356</v>
      </c>
      <c r="H1258" s="930" t="s">
        <v>356</v>
      </c>
      <c r="I1258" s="495" t="s">
        <v>295</v>
      </c>
      <c r="J1258" s="499"/>
      <c r="K1258" s="929" t="s">
        <v>365</v>
      </c>
      <c r="L1258" s="931"/>
      <c r="M1258" s="929" t="s">
        <v>365</v>
      </c>
      <c r="N1258" s="931"/>
      <c r="O1258" s="931"/>
    </row>
    <row r="1259" spans="1:15" ht="13.5" thickBot="1">
      <c r="C1259" s="500" t="s">
        <v>177</v>
      </c>
      <c r="D1259" s="501" t="s">
        <v>178</v>
      </c>
      <c r="E1259" s="500" t="s">
        <v>37</v>
      </c>
      <c r="F1259" s="501" t="s">
        <v>178</v>
      </c>
      <c r="G1259" s="932" t="s">
        <v>298</v>
      </c>
      <c r="H1259" s="933" t="s">
        <v>300</v>
      </c>
      <c r="I1259" s="500" t="s">
        <v>389</v>
      </c>
      <c r="J1259" s="504"/>
      <c r="K1259" s="932" t="s">
        <v>287</v>
      </c>
      <c r="L1259" s="934"/>
      <c r="M1259" s="932" t="s">
        <v>300</v>
      </c>
      <c r="N1259" s="934"/>
      <c r="O1259" s="934"/>
    </row>
    <row r="1260" spans="1:15">
      <c r="C1260" s="505">
        <f>IF(D1254= "","-",D1254)</f>
        <v>2015</v>
      </c>
      <c r="D1260" s="469">
        <f>+D1253</f>
        <v>3059126</v>
      </c>
      <c r="E1260" s="935">
        <f>+I1257/12*(12-D1255)</f>
        <v>0</v>
      </c>
      <c r="F1260" s="469">
        <f t="shared" ref="F1260:F1319" si="78">+D1260-E1260</f>
        <v>3059126</v>
      </c>
      <c r="G1260" s="936">
        <f>+$I$1255*((D1260+F1260)/2)+E1260</f>
        <v>458765.70695346862</v>
      </c>
      <c r="H1260" s="937">
        <f>$I$1256*((D1260+F1260)/2)+E1260</f>
        <v>458765.70695346862</v>
      </c>
      <c r="I1260" s="509">
        <f>+H1260-G1260</f>
        <v>0</v>
      </c>
      <c r="J1260" s="509"/>
      <c r="K1260" s="639">
        <v>559098</v>
      </c>
      <c r="L1260" s="510"/>
      <c r="M1260" s="639">
        <v>559098</v>
      </c>
      <c r="N1260" s="510"/>
      <c r="O1260" s="510"/>
    </row>
    <row r="1261" spans="1:15">
      <c r="C1261" s="505">
        <f>IF(D1254="","-",+C1260+1)</f>
        <v>2016</v>
      </c>
      <c r="D1261" s="469">
        <f t="shared" ref="D1261:D1319" si="79">F1260</f>
        <v>3059126</v>
      </c>
      <c r="E1261" s="511">
        <f>IF(D1261&gt;$I$1257,$I$1257,D1261)</f>
        <v>72836.333333333328</v>
      </c>
      <c r="F1261" s="469">
        <f t="shared" si="78"/>
        <v>2986289.6666666665</v>
      </c>
      <c r="G1261" s="935">
        <f t="shared" ref="G1261:G1319" si="80">+$I$1255*((D1261+F1261)/2)+E1261</f>
        <v>526140.54377545114</v>
      </c>
      <c r="H1261" s="938">
        <f t="shared" ref="H1261:H1319" si="81">$I$1256*((D1261+F1261)/2)+E1261</f>
        <v>526140.54377545114</v>
      </c>
      <c r="I1261" s="509">
        <f t="shared" ref="I1261:I1319" si="82">+H1261-G1261</f>
        <v>0</v>
      </c>
      <c r="J1261" s="509"/>
      <c r="K1261" s="640">
        <v>620362</v>
      </c>
      <c r="L1261" s="514"/>
      <c r="M1261" s="640">
        <v>620362</v>
      </c>
      <c r="N1261" s="514"/>
      <c r="O1261" s="514"/>
    </row>
    <row r="1262" spans="1:15">
      <c r="C1262" s="505">
        <f>IF(D1254="","-",+C1261+1)</f>
        <v>2017</v>
      </c>
      <c r="D1262" s="469">
        <f t="shared" si="79"/>
        <v>2986289.6666666665</v>
      </c>
      <c r="E1262" s="511">
        <f t="shared" ref="E1262:E1319" si="83">IF(D1262&gt;$I$1257,$I$1257,D1262)</f>
        <v>72836.333333333328</v>
      </c>
      <c r="F1262" s="469">
        <f t="shared" si="78"/>
        <v>2913453.333333333</v>
      </c>
      <c r="G1262" s="935">
        <f t="shared" si="80"/>
        <v>515217.55075274949</v>
      </c>
      <c r="H1262" s="938">
        <f t="shared" si="81"/>
        <v>515217.55075274949</v>
      </c>
      <c r="I1262" s="509">
        <f t="shared" si="82"/>
        <v>0</v>
      </c>
      <c r="J1262" s="509"/>
      <c r="K1262" s="640">
        <v>646844</v>
      </c>
      <c r="L1262" s="514"/>
      <c r="M1262" s="640">
        <v>646844</v>
      </c>
      <c r="N1262" s="514"/>
      <c r="O1262" s="514"/>
    </row>
    <row r="1263" spans="1:15">
      <c r="C1263" s="940">
        <f>IF(D1254="","-",+C1262+1)</f>
        <v>2018</v>
      </c>
      <c r="D1263" s="941">
        <f t="shared" si="79"/>
        <v>2913453.333333333</v>
      </c>
      <c r="E1263" s="942">
        <f t="shared" si="83"/>
        <v>72836.333333333328</v>
      </c>
      <c r="F1263" s="941">
        <f t="shared" si="78"/>
        <v>2840616.9999999995</v>
      </c>
      <c r="G1263" s="943">
        <f t="shared" si="80"/>
        <v>504294.55773004773</v>
      </c>
      <c r="H1263" s="944">
        <f t="shared" si="81"/>
        <v>504294.55773004773</v>
      </c>
      <c r="I1263" s="945">
        <f t="shared" si="82"/>
        <v>0</v>
      </c>
      <c r="J1263" s="509"/>
      <c r="K1263" s="640"/>
      <c r="L1263" s="514"/>
      <c r="M1263" s="640"/>
      <c r="N1263" s="514"/>
      <c r="O1263" s="514"/>
    </row>
    <row r="1264" spans="1:15">
      <c r="C1264" s="505">
        <f>IF(D1254="","-",+C1263+1)</f>
        <v>2019</v>
      </c>
      <c r="D1264" s="469">
        <f t="shared" si="79"/>
        <v>2840616.9999999995</v>
      </c>
      <c r="E1264" s="511">
        <f t="shared" si="83"/>
        <v>72836.333333333328</v>
      </c>
      <c r="F1264" s="469">
        <f t="shared" si="78"/>
        <v>2767780.666666666</v>
      </c>
      <c r="G1264" s="935">
        <f t="shared" si="80"/>
        <v>493371.56470734614</v>
      </c>
      <c r="H1264" s="938">
        <f t="shared" si="81"/>
        <v>493371.56470734614</v>
      </c>
      <c r="I1264" s="509">
        <f t="shared" si="82"/>
        <v>0</v>
      </c>
      <c r="J1264" s="509"/>
      <c r="K1264" s="640"/>
      <c r="L1264" s="514"/>
      <c r="M1264" s="640"/>
      <c r="N1264" s="514"/>
      <c r="O1264" s="514"/>
    </row>
    <row r="1265" spans="3:15">
      <c r="C1265" s="505">
        <f>IF(D1254="","-",+C1264+1)</f>
        <v>2020</v>
      </c>
      <c r="D1265" s="469">
        <f t="shared" si="79"/>
        <v>2767780.666666666</v>
      </c>
      <c r="E1265" s="511">
        <f t="shared" si="83"/>
        <v>72836.333333333328</v>
      </c>
      <c r="F1265" s="469">
        <f t="shared" si="78"/>
        <v>2694944.3333333326</v>
      </c>
      <c r="G1265" s="935">
        <f t="shared" si="80"/>
        <v>482448.57168464444</v>
      </c>
      <c r="H1265" s="938">
        <f t="shared" si="81"/>
        <v>482448.57168464444</v>
      </c>
      <c r="I1265" s="509">
        <f t="shared" si="82"/>
        <v>0</v>
      </c>
      <c r="J1265" s="509"/>
      <c r="K1265" s="640"/>
      <c r="L1265" s="514"/>
      <c r="M1265" s="640"/>
      <c r="N1265" s="514"/>
      <c r="O1265" s="514"/>
    </row>
    <row r="1266" spans="3:15">
      <c r="C1266" s="505">
        <f>IF(D1254="","-",+C1265+1)</f>
        <v>2021</v>
      </c>
      <c r="D1266" s="469">
        <f t="shared" si="79"/>
        <v>2694944.3333333326</v>
      </c>
      <c r="E1266" s="511">
        <f t="shared" si="83"/>
        <v>72836.333333333328</v>
      </c>
      <c r="F1266" s="469">
        <f t="shared" si="78"/>
        <v>2622107.9999999991</v>
      </c>
      <c r="G1266" s="935">
        <f t="shared" si="80"/>
        <v>471525.57866194285</v>
      </c>
      <c r="H1266" s="938">
        <f t="shared" si="81"/>
        <v>471525.57866194285</v>
      </c>
      <c r="I1266" s="509">
        <f t="shared" si="82"/>
        <v>0</v>
      </c>
      <c r="J1266" s="509"/>
      <c r="K1266" s="640"/>
      <c r="L1266" s="514"/>
      <c r="M1266" s="640"/>
      <c r="N1266" s="514"/>
      <c r="O1266" s="514"/>
    </row>
    <row r="1267" spans="3:15">
      <c r="C1267" s="505">
        <f>IF(D1254="","-",+C1266+1)</f>
        <v>2022</v>
      </c>
      <c r="D1267" s="469">
        <f t="shared" si="79"/>
        <v>2622107.9999999991</v>
      </c>
      <c r="E1267" s="511">
        <f t="shared" si="83"/>
        <v>72836.333333333328</v>
      </c>
      <c r="F1267" s="469">
        <f t="shared" si="78"/>
        <v>2549271.6666666656</v>
      </c>
      <c r="G1267" s="935">
        <f t="shared" si="80"/>
        <v>460602.58563924109</v>
      </c>
      <c r="H1267" s="938">
        <f t="shared" si="81"/>
        <v>460602.58563924109</v>
      </c>
      <c r="I1267" s="509">
        <f t="shared" si="82"/>
        <v>0</v>
      </c>
      <c r="J1267" s="509"/>
      <c r="K1267" s="640"/>
      <c r="L1267" s="514"/>
      <c r="M1267" s="640"/>
      <c r="N1267" s="514"/>
      <c r="O1267" s="514"/>
    </row>
    <row r="1268" spans="3:15">
      <c r="C1268" s="505">
        <f>IF(D1254="","-",+C1267+1)</f>
        <v>2023</v>
      </c>
      <c r="D1268" s="469">
        <f t="shared" si="79"/>
        <v>2549271.6666666656</v>
      </c>
      <c r="E1268" s="511">
        <f t="shared" si="83"/>
        <v>72836.333333333328</v>
      </c>
      <c r="F1268" s="469">
        <f t="shared" si="78"/>
        <v>2476435.3333333321</v>
      </c>
      <c r="G1268" s="935">
        <f t="shared" si="80"/>
        <v>449679.59261653951</v>
      </c>
      <c r="H1268" s="938">
        <f t="shared" si="81"/>
        <v>449679.59261653951</v>
      </c>
      <c r="I1268" s="509">
        <f t="shared" si="82"/>
        <v>0</v>
      </c>
      <c r="J1268" s="509"/>
      <c r="K1268" s="640"/>
      <c r="L1268" s="514"/>
      <c r="M1268" s="640"/>
      <c r="N1268" s="514"/>
      <c r="O1268" s="514"/>
    </row>
    <row r="1269" spans="3:15">
      <c r="C1269" s="505">
        <f>IF(D1254="","-",+C1268+1)</f>
        <v>2024</v>
      </c>
      <c r="D1269" s="469">
        <f t="shared" si="79"/>
        <v>2476435.3333333321</v>
      </c>
      <c r="E1269" s="511">
        <f t="shared" si="83"/>
        <v>72836.333333333328</v>
      </c>
      <c r="F1269" s="469">
        <f t="shared" si="78"/>
        <v>2403598.9999999986</v>
      </c>
      <c r="G1269" s="935">
        <f t="shared" si="80"/>
        <v>438756.5995938378</v>
      </c>
      <c r="H1269" s="938">
        <f t="shared" si="81"/>
        <v>438756.5995938378</v>
      </c>
      <c r="I1269" s="509">
        <f t="shared" si="82"/>
        <v>0</v>
      </c>
      <c r="J1269" s="509"/>
      <c r="K1269" s="640"/>
      <c r="L1269" s="514"/>
      <c r="M1269" s="640"/>
      <c r="N1269" s="514"/>
      <c r="O1269" s="514"/>
    </row>
    <row r="1270" spans="3:15">
      <c r="C1270" s="505">
        <f>IF(D1254="","-",+C1269+1)</f>
        <v>2025</v>
      </c>
      <c r="D1270" s="469">
        <f t="shared" si="79"/>
        <v>2403598.9999999986</v>
      </c>
      <c r="E1270" s="511">
        <f t="shared" si="83"/>
        <v>72836.333333333328</v>
      </c>
      <c r="F1270" s="469">
        <f t="shared" si="78"/>
        <v>2330762.6666666651</v>
      </c>
      <c r="G1270" s="935">
        <f t="shared" si="80"/>
        <v>427833.60657113622</v>
      </c>
      <c r="H1270" s="938">
        <f t="shared" si="81"/>
        <v>427833.60657113622</v>
      </c>
      <c r="I1270" s="509">
        <f t="shared" si="82"/>
        <v>0</v>
      </c>
      <c r="J1270" s="509"/>
      <c r="K1270" s="640"/>
      <c r="L1270" s="514"/>
      <c r="M1270" s="640"/>
      <c r="N1270" s="514"/>
      <c r="O1270" s="514"/>
    </row>
    <row r="1271" spans="3:15">
      <c r="C1271" s="505">
        <f>IF(D1254="","-",+C1270+1)</f>
        <v>2026</v>
      </c>
      <c r="D1271" s="469">
        <f t="shared" si="79"/>
        <v>2330762.6666666651</v>
      </c>
      <c r="E1271" s="511">
        <f t="shared" si="83"/>
        <v>72836.333333333328</v>
      </c>
      <c r="F1271" s="469">
        <f t="shared" si="78"/>
        <v>2257926.3333333316</v>
      </c>
      <c r="G1271" s="935">
        <f t="shared" si="80"/>
        <v>416910.61354843446</v>
      </c>
      <c r="H1271" s="938">
        <f t="shared" si="81"/>
        <v>416910.61354843446</v>
      </c>
      <c r="I1271" s="509">
        <f t="shared" si="82"/>
        <v>0</v>
      </c>
      <c r="J1271" s="509"/>
      <c r="K1271" s="640"/>
      <c r="L1271" s="514"/>
      <c r="M1271" s="640"/>
      <c r="N1271" s="514"/>
      <c r="O1271" s="514"/>
    </row>
    <row r="1272" spans="3:15">
      <c r="C1272" s="505">
        <f>IF(D1254="","-",+C1271+1)</f>
        <v>2027</v>
      </c>
      <c r="D1272" s="469">
        <f t="shared" si="79"/>
        <v>2257926.3333333316</v>
      </c>
      <c r="E1272" s="511">
        <f t="shared" si="83"/>
        <v>72836.333333333328</v>
      </c>
      <c r="F1272" s="469">
        <f t="shared" si="78"/>
        <v>2185089.9999999981</v>
      </c>
      <c r="G1272" s="935">
        <f t="shared" si="80"/>
        <v>405987.62052573287</v>
      </c>
      <c r="H1272" s="938">
        <f t="shared" si="81"/>
        <v>405987.62052573287</v>
      </c>
      <c r="I1272" s="509">
        <f t="shared" si="82"/>
        <v>0</v>
      </c>
      <c r="J1272" s="509"/>
      <c r="K1272" s="640"/>
      <c r="L1272" s="514"/>
      <c r="M1272" s="640"/>
      <c r="N1272" s="514"/>
      <c r="O1272" s="514"/>
    </row>
    <row r="1273" spans="3:15">
      <c r="C1273" s="505">
        <f>IF(D1254="","-",+C1272+1)</f>
        <v>2028</v>
      </c>
      <c r="D1273" s="469">
        <f t="shared" si="79"/>
        <v>2185089.9999999981</v>
      </c>
      <c r="E1273" s="511">
        <f t="shared" si="83"/>
        <v>72836.333333333328</v>
      </c>
      <c r="F1273" s="469">
        <f t="shared" si="78"/>
        <v>2112253.6666666646</v>
      </c>
      <c r="G1273" s="935">
        <f t="shared" si="80"/>
        <v>395064.62750303117</v>
      </c>
      <c r="H1273" s="938">
        <f t="shared" si="81"/>
        <v>395064.62750303117</v>
      </c>
      <c r="I1273" s="509">
        <f t="shared" si="82"/>
        <v>0</v>
      </c>
      <c r="J1273" s="509"/>
      <c r="K1273" s="640"/>
      <c r="L1273" s="514"/>
      <c r="M1273" s="640"/>
      <c r="N1273" s="514"/>
      <c r="O1273" s="514"/>
    </row>
    <row r="1274" spans="3:15">
      <c r="C1274" s="505">
        <f>IF(D1254="","-",+C1273+1)</f>
        <v>2029</v>
      </c>
      <c r="D1274" s="469">
        <f t="shared" si="79"/>
        <v>2112253.6666666646</v>
      </c>
      <c r="E1274" s="511">
        <f t="shared" si="83"/>
        <v>72836.333333333328</v>
      </c>
      <c r="F1274" s="469">
        <f t="shared" si="78"/>
        <v>2039417.3333333314</v>
      </c>
      <c r="G1274" s="935">
        <f t="shared" si="80"/>
        <v>384141.63448032958</v>
      </c>
      <c r="H1274" s="938">
        <f t="shared" si="81"/>
        <v>384141.63448032958</v>
      </c>
      <c r="I1274" s="509">
        <f t="shared" si="82"/>
        <v>0</v>
      </c>
      <c r="J1274" s="509"/>
      <c r="K1274" s="640"/>
      <c r="L1274" s="514"/>
      <c r="M1274" s="640"/>
      <c r="N1274" s="514"/>
      <c r="O1274" s="514"/>
    </row>
    <row r="1275" spans="3:15">
      <c r="C1275" s="505">
        <f>IF(D1254="","-",+C1274+1)</f>
        <v>2030</v>
      </c>
      <c r="D1275" s="469">
        <f t="shared" si="79"/>
        <v>2039417.3333333314</v>
      </c>
      <c r="E1275" s="511">
        <f t="shared" si="83"/>
        <v>72836.333333333328</v>
      </c>
      <c r="F1275" s="469">
        <f t="shared" si="78"/>
        <v>1966580.9999999981</v>
      </c>
      <c r="G1275" s="935">
        <f t="shared" si="80"/>
        <v>373218.64145762793</v>
      </c>
      <c r="H1275" s="938">
        <f t="shared" si="81"/>
        <v>373218.64145762793</v>
      </c>
      <c r="I1275" s="509">
        <f t="shared" si="82"/>
        <v>0</v>
      </c>
      <c r="J1275" s="509"/>
      <c r="K1275" s="640"/>
      <c r="L1275" s="514"/>
      <c r="M1275" s="640"/>
      <c r="N1275" s="514"/>
      <c r="O1275" s="514"/>
    </row>
    <row r="1276" spans="3:15">
      <c r="C1276" s="505">
        <f>IF(D1254="","-",+C1275+1)</f>
        <v>2031</v>
      </c>
      <c r="D1276" s="469">
        <f t="shared" si="79"/>
        <v>1966580.9999999981</v>
      </c>
      <c r="E1276" s="511">
        <f t="shared" si="83"/>
        <v>72836.333333333328</v>
      </c>
      <c r="F1276" s="469">
        <f t="shared" si="78"/>
        <v>1893744.6666666649</v>
      </c>
      <c r="G1276" s="935">
        <f t="shared" si="80"/>
        <v>362295.64843492635</v>
      </c>
      <c r="H1276" s="938">
        <f t="shared" si="81"/>
        <v>362295.64843492635</v>
      </c>
      <c r="I1276" s="509">
        <f t="shared" si="82"/>
        <v>0</v>
      </c>
      <c r="J1276" s="509"/>
      <c r="K1276" s="640"/>
      <c r="L1276" s="514"/>
      <c r="M1276" s="640"/>
      <c r="N1276" s="514"/>
      <c r="O1276" s="514"/>
    </row>
    <row r="1277" spans="3:15">
      <c r="C1277" s="505">
        <f>IF(D1254="","-",+C1276+1)</f>
        <v>2032</v>
      </c>
      <c r="D1277" s="469">
        <f t="shared" si="79"/>
        <v>1893744.6666666649</v>
      </c>
      <c r="E1277" s="511">
        <f t="shared" si="83"/>
        <v>72836.333333333328</v>
      </c>
      <c r="F1277" s="469">
        <f t="shared" si="78"/>
        <v>1820908.3333333316</v>
      </c>
      <c r="G1277" s="935">
        <f t="shared" si="80"/>
        <v>351372.6554122247</v>
      </c>
      <c r="H1277" s="938">
        <f t="shared" si="81"/>
        <v>351372.6554122247</v>
      </c>
      <c r="I1277" s="509">
        <f t="shared" si="82"/>
        <v>0</v>
      </c>
      <c r="J1277" s="509"/>
      <c r="K1277" s="640"/>
      <c r="L1277" s="514"/>
      <c r="M1277" s="640"/>
      <c r="N1277" s="514"/>
      <c r="O1277" s="514"/>
    </row>
    <row r="1278" spans="3:15">
      <c r="C1278" s="505">
        <f>IF(D1254="","-",+C1277+1)</f>
        <v>2033</v>
      </c>
      <c r="D1278" s="469">
        <f t="shared" si="79"/>
        <v>1820908.3333333316</v>
      </c>
      <c r="E1278" s="511">
        <f t="shared" si="83"/>
        <v>72836.333333333328</v>
      </c>
      <c r="F1278" s="469">
        <f t="shared" si="78"/>
        <v>1748071.9999999984</v>
      </c>
      <c r="G1278" s="935">
        <f t="shared" si="80"/>
        <v>340449.66238952312</v>
      </c>
      <c r="H1278" s="938">
        <f t="shared" si="81"/>
        <v>340449.66238952312</v>
      </c>
      <c r="I1278" s="509">
        <f t="shared" si="82"/>
        <v>0</v>
      </c>
      <c r="J1278" s="509"/>
      <c r="K1278" s="640"/>
      <c r="L1278" s="514"/>
      <c r="M1278" s="640"/>
      <c r="N1278" s="514"/>
      <c r="O1278" s="514"/>
    </row>
    <row r="1279" spans="3:15">
      <c r="C1279" s="505">
        <f>IF(D1254="","-",+C1278+1)</f>
        <v>2034</v>
      </c>
      <c r="D1279" s="469">
        <f t="shared" si="79"/>
        <v>1748071.9999999984</v>
      </c>
      <c r="E1279" s="511">
        <f t="shared" si="83"/>
        <v>72836.333333333328</v>
      </c>
      <c r="F1279" s="469">
        <f t="shared" si="78"/>
        <v>1675235.6666666651</v>
      </c>
      <c r="G1279" s="935">
        <f t="shared" si="80"/>
        <v>329526.66936682147</v>
      </c>
      <c r="H1279" s="938">
        <f t="shared" si="81"/>
        <v>329526.66936682147</v>
      </c>
      <c r="I1279" s="509">
        <f t="shared" si="82"/>
        <v>0</v>
      </c>
      <c r="J1279" s="509"/>
      <c r="K1279" s="640"/>
      <c r="L1279" s="514"/>
      <c r="M1279" s="640"/>
      <c r="N1279" s="514"/>
      <c r="O1279" s="514"/>
    </row>
    <row r="1280" spans="3:15">
      <c r="C1280" s="505">
        <f>IF(D1254="","-",+C1279+1)</f>
        <v>2035</v>
      </c>
      <c r="D1280" s="469">
        <f t="shared" si="79"/>
        <v>1675235.6666666651</v>
      </c>
      <c r="E1280" s="511">
        <f t="shared" si="83"/>
        <v>72836.333333333328</v>
      </c>
      <c r="F1280" s="469">
        <f t="shared" si="78"/>
        <v>1602399.3333333319</v>
      </c>
      <c r="G1280" s="935">
        <f t="shared" si="80"/>
        <v>318603.67634411989</v>
      </c>
      <c r="H1280" s="938">
        <f t="shared" si="81"/>
        <v>318603.67634411989</v>
      </c>
      <c r="I1280" s="509">
        <f t="shared" si="82"/>
        <v>0</v>
      </c>
      <c r="J1280" s="509"/>
      <c r="K1280" s="640"/>
      <c r="L1280" s="514"/>
      <c r="M1280" s="640"/>
      <c r="N1280" s="514"/>
      <c r="O1280" s="514"/>
    </row>
    <row r="1281" spans="3:15">
      <c r="C1281" s="505">
        <f>IF(D1254="","-",+C1280+1)</f>
        <v>2036</v>
      </c>
      <c r="D1281" s="469">
        <f t="shared" si="79"/>
        <v>1602399.3333333319</v>
      </c>
      <c r="E1281" s="511">
        <f t="shared" si="83"/>
        <v>72836.333333333328</v>
      </c>
      <c r="F1281" s="469">
        <f t="shared" si="78"/>
        <v>1529562.9999999986</v>
      </c>
      <c r="G1281" s="935">
        <f t="shared" si="80"/>
        <v>307680.68332141824</v>
      </c>
      <c r="H1281" s="938">
        <f t="shared" si="81"/>
        <v>307680.68332141824</v>
      </c>
      <c r="I1281" s="509">
        <f t="shared" si="82"/>
        <v>0</v>
      </c>
      <c r="J1281" s="509"/>
      <c r="K1281" s="640"/>
      <c r="L1281" s="514"/>
      <c r="M1281" s="640"/>
      <c r="N1281" s="514"/>
      <c r="O1281" s="514"/>
    </row>
    <row r="1282" spans="3:15">
      <c r="C1282" s="505">
        <f>IF(D1254="","-",+C1281+1)</f>
        <v>2037</v>
      </c>
      <c r="D1282" s="469">
        <f t="shared" si="79"/>
        <v>1529562.9999999986</v>
      </c>
      <c r="E1282" s="511">
        <f t="shared" si="83"/>
        <v>72836.333333333328</v>
      </c>
      <c r="F1282" s="469">
        <f t="shared" si="78"/>
        <v>1456726.6666666653</v>
      </c>
      <c r="G1282" s="935">
        <f t="shared" si="80"/>
        <v>296757.69029871665</v>
      </c>
      <c r="H1282" s="938">
        <f t="shared" si="81"/>
        <v>296757.69029871665</v>
      </c>
      <c r="I1282" s="509">
        <f t="shared" si="82"/>
        <v>0</v>
      </c>
      <c r="J1282" s="509"/>
      <c r="K1282" s="640"/>
      <c r="L1282" s="514"/>
      <c r="M1282" s="640"/>
      <c r="N1282" s="514"/>
      <c r="O1282" s="514"/>
    </row>
    <row r="1283" spans="3:15">
      <c r="C1283" s="505">
        <f>IF(D1254="","-",+C1282+1)</f>
        <v>2038</v>
      </c>
      <c r="D1283" s="469">
        <f t="shared" si="79"/>
        <v>1456726.6666666653</v>
      </c>
      <c r="E1283" s="511">
        <f t="shared" si="83"/>
        <v>72836.333333333328</v>
      </c>
      <c r="F1283" s="469">
        <f t="shared" si="78"/>
        <v>1383890.3333333321</v>
      </c>
      <c r="G1283" s="935">
        <f t="shared" si="80"/>
        <v>285834.69727601495</v>
      </c>
      <c r="H1283" s="938">
        <f t="shared" si="81"/>
        <v>285834.69727601495</v>
      </c>
      <c r="I1283" s="509">
        <f t="shared" si="82"/>
        <v>0</v>
      </c>
      <c r="J1283" s="509"/>
      <c r="K1283" s="640"/>
      <c r="L1283" s="514"/>
      <c r="M1283" s="640"/>
      <c r="N1283" s="514"/>
      <c r="O1283" s="514"/>
    </row>
    <row r="1284" spans="3:15">
      <c r="C1284" s="505">
        <f>IF(D1254="","-",+C1283+1)</f>
        <v>2039</v>
      </c>
      <c r="D1284" s="469">
        <f t="shared" si="79"/>
        <v>1383890.3333333321</v>
      </c>
      <c r="E1284" s="511">
        <f t="shared" si="83"/>
        <v>72836.333333333328</v>
      </c>
      <c r="F1284" s="469">
        <f t="shared" si="78"/>
        <v>1311053.9999999988</v>
      </c>
      <c r="G1284" s="935">
        <f t="shared" si="80"/>
        <v>274911.70425331336</v>
      </c>
      <c r="H1284" s="938">
        <f t="shared" si="81"/>
        <v>274911.70425331336</v>
      </c>
      <c r="I1284" s="509">
        <f t="shared" si="82"/>
        <v>0</v>
      </c>
      <c r="J1284" s="509"/>
      <c r="K1284" s="640"/>
      <c r="L1284" s="514"/>
      <c r="M1284" s="640"/>
      <c r="N1284" s="514"/>
      <c r="O1284" s="514"/>
    </row>
    <row r="1285" spans="3:15">
      <c r="C1285" s="505">
        <f>IF(D1254="","-",+C1284+1)</f>
        <v>2040</v>
      </c>
      <c r="D1285" s="469">
        <f t="shared" si="79"/>
        <v>1311053.9999999988</v>
      </c>
      <c r="E1285" s="511">
        <f t="shared" si="83"/>
        <v>72836.333333333328</v>
      </c>
      <c r="F1285" s="469">
        <f t="shared" si="78"/>
        <v>1238217.6666666656</v>
      </c>
      <c r="G1285" s="935">
        <f t="shared" si="80"/>
        <v>263988.71123061172</v>
      </c>
      <c r="H1285" s="938">
        <f t="shared" si="81"/>
        <v>263988.71123061172</v>
      </c>
      <c r="I1285" s="509">
        <f t="shared" si="82"/>
        <v>0</v>
      </c>
      <c r="J1285" s="509"/>
      <c r="K1285" s="640"/>
      <c r="L1285" s="514"/>
      <c r="M1285" s="640"/>
      <c r="N1285" s="514"/>
      <c r="O1285" s="514"/>
    </row>
    <row r="1286" spans="3:15">
      <c r="C1286" s="505">
        <f>IF(D1254="","-",+C1285+1)</f>
        <v>2041</v>
      </c>
      <c r="D1286" s="469">
        <f t="shared" si="79"/>
        <v>1238217.6666666656</v>
      </c>
      <c r="E1286" s="511">
        <f t="shared" si="83"/>
        <v>72836.333333333328</v>
      </c>
      <c r="F1286" s="469">
        <f t="shared" si="78"/>
        <v>1165381.3333333323</v>
      </c>
      <c r="G1286" s="935">
        <f t="shared" si="80"/>
        <v>253065.71820791013</v>
      </c>
      <c r="H1286" s="938">
        <f t="shared" si="81"/>
        <v>253065.71820791013</v>
      </c>
      <c r="I1286" s="509">
        <f t="shared" si="82"/>
        <v>0</v>
      </c>
      <c r="J1286" s="509"/>
      <c r="K1286" s="640"/>
      <c r="L1286" s="514"/>
      <c r="M1286" s="640"/>
      <c r="N1286" s="514"/>
      <c r="O1286" s="514"/>
    </row>
    <row r="1287" spans="3:15">
      <c r="C1287" s="505">
        <f>IF(D1254="","-",+C1286+1)</f>
        <v>2042</v>
      </c>
      <c r="D1287" s="469">
        <f t="shared" si="79"/>
        <v>1165381.3333333323</v>
      </c>
      <c r="E1287" s="511">
        <f t="shared" si="83"/>
        <v>72836.333333333328</v>
      </c>
      <c r="F1287" s="469">
        <f t="shared" si="78"/>
        <v>1092544.9999999991</v>
      </c>
      <c r="G1287" s="935">
        <f t="shared" si="80"/>
        <v>242142.72518520849</v>
      </c>
      <c r="H1287" s="938">
        <f t="shared" si="81"/>
        <v>242142.72518520849</v>
      </c>
      <c r="I1287" s="509">
        <f t="shared" si="82"/>
        <v>0</v>
      </c>
      <c r="J1287" s="509"/>
      <c r="K1287" s="640"/>
      <c r="L1287" s="514"/>
      <c r="M1287" s="640"/>
      <c r="N1287" s="514"/>
      <c r="O1287" s="514"/>
    </row>
    <row r="1288" spans="3:15">
      <c r="C1288" s="505">
        <f>IF(D1254="","-",+C1287+1)</f>
        <v>2043</v>
      </c>
      <c r="D1288" s="469">
        <f t="shared" si="79"/>
        <v>1092544.9999999991</v>
      </c>
      <c r="E1288" s="511">
        <f t="shared" si="83"/>
        <v>72836.333333333328</v>
      </c>
      <c r="F1288" s="469">
        <f t="shared" si="78"/>
        <v>1019708.6666666657</v>
      </c>
      <c r="G1288" s="936">
        <f t="shared" si="80"/>
        <v>231219.73216250684</v>
      </c>
      <c r="H1288" s="938">
        <f t="shared" si="81"/>
        <v>231219.73216250684</v>
      </c>
      <c r="I1288" s="509">
        <f t="shared" si="82"/>
        <v>0</v>
      </c>
      <c r="J1288" s="509"/>
      <c r="K1288" s="640"/>
      <c r="L1288" s="514"/>
      <c r="M1288" s="640"/>
      <c r="N1288" s="514"/>
      <c r="O1288" s="514"/>
    </row>
    <row r="1289" spans="3:15">
      <c r="C1289" s="505">
        <f>IF(D1254="","-",+C1288+1)</f>
        <v>2044</v>
      </c>
      <c r="D1289" s="469">
        <f t="shared" si="79"/>
        <v>1019708.6666666657</v>
      </c>
      <c r="E1289" s="511">
        <f t="shared" si="83"/>
        <v>72836.333333333328</v>
      </c>
      <c r="F1289" s="469">
        <f t="shared" si="78"/>
        <v>946872.33333333232</v>
      </c>
      <c r="G1289" s="935">
        <f t="shared" si="80"/>
        <v>220296.73913980526</v>
      </c>
      <c r="H1289" s="938">
        <f t="shared" si="81"/>
        <v>220296.73913980526</v>
      </c>
      <c r="I1289" s="509">
        <f t="shared" si="82"/>
        <v>0</v>
      </c>
      <c r="J1289" s="509"/>
      <c r="K1289" s="640"/>
      <c r="L1289" s="514"/>
      <c r="M1289" s="640"/>
      <c r="N1289" s="514"/>
      <c r="O1289" s="514"/>
    </row>
    <row r="1290" spans="3:15">
      <c r="C1290" s="505">
        <f>IF(D1254="","-",+C1289+1)</f>
        <v>2045</v>
      </c>
      <c r="D1290" s="469">
        <f t="shared" si="79"/>
        <v>946872.33333333232</v>
      </c>
      <c r="E1290" s="511">
        <f t="shared" si="83"/>
        <v>72836.333333333328</v>
      </c>
      <c r="F1290" s="469">
        <f t="shared" si="78"/>
        <v>874035.99999999895</v>
      </c>
      <c r="G1290" s="935">
        <f t="shared" si="80"/>
        <v>209373.74611710355</v>
      </c>
      <c r="H1290" s="938">
        <f t="shared" si="81"/>
        <v>209373.74611710355</v>
      </c>
      <c r="I1290" s="509">
        <f t="shared" si="82"/>
        <v>0</v>
      </c>
      <c r="J1290" s="509"/>
      <c r="K1290" s="640"/>
      <c r="L1290" s="514"/>
      <c r="M1290" s="640"/>
      <c r="N1290" s="514"/>
      <c r="O1290" s="514"/>
    </row>
    <row r="1291" spans="3:15">
      <c r="C1291" s="505">
        <f>IF(D1254="","-",+C1290+1)</f>
        <v>2046</v>
      </c>
      <c r="D1291" s="469">
        <f t="shared" si="79"/>
        <v>874035.99999999895</v>
      </c>
      <c r="E1291" s="511">
        <f t="shared" si="83"/>
        <v>72836.333333333328</v>
      </c>
      <c r="F1291" s="469">
        <f t="shared" si="78"/>
        <v>801199.66666666558</v>
      </c>
      <c r="G1291" s="935">
        <f t="shared" si="80"/>
        <v>198450.75309440197</v>
      </c>
      <c r="H1291" s="938">
        <f t="shared" si="81"/>
        <v>198450.75309440197</v>
      </c>
      <c r="I1291" s="509">
        <f t="shared" si="82"/>
        <v>0</v>
      </c>
      <c r="J1291" s="509"/>
      <c r="K1291" s="640"/>
      <c r="L1291" s="514"/>
      <c r="M1291" s="640"/>
      <c r="N1291" s="514"/>
      <c r="O1291" s="514"/>
    </row>
    <row r="1292" spans="3:15">
      <c r="C1292" s="505">
        <f>IF(D1254="","-",+C1291+1)</f>
        <v>2047</v>
      </c>
      <c r="D1292" s="469">
        <f t="shared" si="79"/>
        <v>801199.66666666558</v>
      </c>
      <c r="E1292" s="511">
        <f t="shared" si="83"/>
        <v>72836.333333333328</v>
      </c>
      <c r="F1292" s="469">
        <f t="shared" si="78"/>
        <v>728363.33333333221</v>
      </c>
      <c r="G1292" s="935">
        <f t="shared" si="80"/>
        <v>187527.76007170032</v>
      </c>
      <c r="H1292" s="938">
        <f t="shared" si="81"/>
        <v>187527.76007170032</v>
      </c>
      <c r="I1292" s="509">
        <f t="shared" si="82"/>
        <v>0</v>
      </c>
      <c r="J1292" s="509"/>
      <c r="K1292" s="640"/>
      <c r="L1292" s="514"/>
      <c r="M1292" s="640"/>
      <c r="N1292" s="514"/>
      <c r="O1292" s="514"/>
    </row>
    <row r="1293" spans="3:15">
      <c r="C1293" s="505">
        <f>IF(D1254="","-",+C1292+1)</f>
        <v>2048</v>
      </c>
      <c r="D1293" s="469">
        <f t="shared" si="79"/>
        <v>728363.33333333221</v>
      </c>
      <c r="E1293" s="511">
        <f t="shared" si="83"/>
        <v>72836.333333333328</v>
      </c>
      <c r="F1293" s="469">
        <f t="shared" si="78"/>
        <v>655526.99999999884</v>
      </c>
      <c r="G1293" s="935">
        <f t="shared" si="80"/>
        <v>176604.76704899868</v>
      </c>
      <c r="H1293" s="938">
        <f t="shared" si="81"/>
        <v>176604.76704899868</v>
      </c>
      <c r="I1293" s="509">
        <f t="shared" si="82"/>
        <v>0</v>
      </c>
      <c r="J1293" s="509"/>
      <c r="K1293" s="640"/>
      <c r="L1293" s="514"/>
      <c r="M1293" s="640"/>
      <c r="N1293" s="514"/>
      <c r="O1293" s="514"/>
    </row>
    <row r="1294" spans="3:15">
      <c r="C1294" s="505">
        <f>IF(D1254="","-",+C1293+1)</f>
        <v>2049</v>
      </c>
      <c r="D1294" s="469">
        <f t="shared" si="79"/>
        <v>655526.99999999884</v>
      </c>
      <c r="E1294" s="511">
        <f t="shared" si="83"/>
        <v>72836.333333333328</v>
      </c>
      <c r="F1294" s="469">
        <f t="shared" si="78"/>
        <v>582690.66666666546</v>
      </c>
      <c r="G1294" s="935">
        <f t="shared" si="80"/>
        <v>165681.77402629703</v>
      </c>
      <c r="H1294" s="938">
        <f t="shared" si="81"/>
        <v>165681.77402629703</v>
      </c>
      <c r="I1294" s="509">
        <f t="shared" si="82"/>
        <v>0</v>
      </c>
      <c r="J1294" s="509"/>
      <c r="K1294" s="640"/>
      <c r="L1294" s="514"/>
      <c r="M1294" s="640"/>
      <c r="N1294" s="514"/>
      <c r="O1294" s="514"/>
    </row>
    <row r="1295" spans="3:15">
      <c r="C1295" s="505">
        <f>IF(D1254="","-",+C1294+1)</f>
        <v>2050</v>
      </c>
      <c r="D1295" s="469">
        <f t="shared" si="79"/>
        <v>582690.66666666546</v>
      </c>
      <c r="E1295" s="511">
        <f t="shared" si="83"/>
        <v>72836.333333333328</v>
      </c>
      <c r="F1295" s="469">
        <f t="shared" si="78"/>
        <v>509854.33333333215</v>
      </c>
      <c r="G1295" s="935">
        <f t="shared" si="80"/>
        <v>154758.78100359539</v>
      </c>
      <c r="H1295" s="938">
        <f t="shared" si="81"/>
        <v>154758.78100359539</v>
      </c>
      <c r="I1295" s="509">
        <f t="shared" si="82"/>
        <v>0</v>
      </c>
      <c r="J1295" s="509"/>
      <c r="K1295" s="640"/>
      <c r="L1295" s="514"/>
      <c r="M1295" s="640"/>
      <c r="N1295" s="514"/>
      <c r="O1295" s="514"/>
    </row>
    <row r="1296" spans="3:15">
      <c r="C1296" s="505">
        <f>IF(D1254="","-",+C1295+1)</f>
        <v>2051</v>
      </c>
      <c r="D1296" s="469">
        <f t="shared" si="79"/>
        <v>509854.33333333215</v>
      </c>
      <c r="E1296" s="511">
        <f t="shared" si="83"/>
        <v>72836.333333333328</v>
      </c>
      <c r="F1296" s="469">
        <f t="shared" si="78"/>
        <v>437017.99999999884</v>
      </c>
      <c r="G1296" s="935">
        <f t="shared" si="80"/>
        <v>143835.78798089374</v>
      </c>
      <c r="H1296" s="938">
        <f t="shared" si="81"/>
        <v>143835.78798089374</v>
      </c>
      <c r="I1296" s="509">
        <f t="shared" si="82"/>
        <v>0</v>
      </c>
      <c r="J1296" s="509"/>
      <c r="K1296" s="640"/>
      <c r="L1296" s="514"/>
      <c r="M1296" s="640"/>
      <c r="N1296" s="514"/>
      <c r="O1296" s="514"/>
    </row>
    <row r="1297" spans="3:15">
      <c r="C1297" s="505">
        <f>IF(D1254="","-",+C1296+1)</f>
        <v>2052</v>
      </c>
      <c r="D1297" s="469">
        <f t="shared" si="79"/>
        <v>437017.99999999884</v>
      </c>
      <c r="E1297" s="511">
        <f t="shared" si="83"/>
        <v>72836.333333333328</v>
      </c>
      <c r="F1297" s="469">
        <f t="shared" si="78"/>
        <v>364181.66666666552</v>
      </c>
      <c r="G1297" s="935">
        <f t="shared" si="80"/>
        <v>132912.79495819216</v>
      </c>
      <c r="H1297" s="938">
        <f t="shared" si="81"/>
        <v>132912.79495819216</v>
      </c>
      <c r="I1297" s="509">
        <f t="shared" si="82"/>
        <v>0</v>
      </c>
      <c r="J1297" s="509"/>
      <c r="K1297" s="640"/>
      <c r="L1297" s="514"/>
      <c r="M1297" s="640"/>
      <c r="N1297" s="514"/>
      <c r="O1297" s="514"/>
    </row>
    <row r="1298" spans="3:15">
      <c r="C1298" s="505">
        <f>IF(D1254="","-",+C1297+1)</f>
        <v>2053</v>
      </c>
      <c r="D1298" s="469">
        <f t="shared" si="79"/>
        <v>364181.66666666552</v>
      </c>
      <c r="E1298" s="511">
        <f t="shared" si="83"/>
        <v>72836.333333333328</v>
      </c>
      <c r="F1298" s="469">
        <f t="shared" si="78"/>
        <v>291345.33333333221</v>
      </c>
      <c r="G1298" s="935">
        <f t="shared" si="80"/>
        <v>121989.80193549051</v>
      </c>
      <c r="H1298" s="938">
        <f t="shared" si="81"/>
        <v>121989.80193549051</v>
      </c>
      <c r="I1298" s="509">
        <f t="shared" si="82"/>
        <v>0</v>
      </c>
      <c r="J1298" s="509"/>
      <c r="K1298" s="640"/>
      <c r="L1298" s="514"/>
      <c r="M1298" s="640"/>
      <c r="N1298" s="514"/>
      <c r="O1298" s="514"/>
    </row>
    <row r="1299" spans="3:15">
      <c r="C1299" s="505">
        <f>IF(D1254="","-",+C1298+1)</f>
        <v>2054</v>
      </c>
      <c r="D1299" s="469">
        <f t="shared" si="79"/>
        <v>291345.33333333221</v>
      </c>
      <c r="E1299" s="511">
        <f t="shared" si="83"/>
        <v>72836.333333333328</v>
      </c>
      <c r="F1299" s="469">
        <f t="shared" si="78"/>
        <v>218508.99999999889</v>
      </c>
      <c r="G1299" s="935">
        <f t="shared" si="80"/>
        <v>111066.80891278887</v>
      </c>
      <c r="H1299" s="938">
        <f t="shared" si="81"/>
        <v>111066.80891278887</v>
      </c>
      <c r="I1299" s="509">
        <f t="shared" si="82"/>
        <v>0</v>
      </c>
      <c r="J1299" s="509"/>
      <c r="K1299" s="640"/>
      <c r="L1299" s="514"/>
      <c r="M1299" s="640"/>
      <c r="N1299" s="514"/>
      <c r="O1299" s="514"/>
    </row>
    <row r="1300" spans="3:15">
      <c r="C1300" s="505">
        <f>IF(D1254="","-",+C1299+1)</f>
        <v>2055</v>
      </c>
      <c r="D1300" s="469">
        <f t="shared" si="79"/>
        <v>218508.99999999889</v>
      </c>
      <c r="E1300" s="511">
        <f t="shared" si="83"/>
        <v>72836.333333333328</v>
      </c>
      <c r="F1300" s="469">
        <f t="shared" si="78"/>
        <v>145672.66666666558</v>
      </c>
      <c r="G1300" s="935">
        <f t="shared" si="80"/>
        <v>100143.81589008725</v>
      </c>
      <c r="H1300" s="938">
        <f t="shared" si="81"/>
        <v>100143.81589008725</v>
      </c>
      <c r="I1300" s="509">
        <f t="shared" si="82"/>
        <v>0</v>
      </c>
      <c r="J1300" s="509"/>
      <c r="K1300" s="640"/>
      <c r="L1300" s="514"/>
      <c r="M1300" s="640"/>
      <c r="N1300" s="514"/>
      <c r="O1300" s="514"/>
    </row>
    <row r="1301" spans="3:15">
      <c r="C1301" s="505">
        <f>IF(D1254="","-",+C1300+1)</f>
        <v>2056</v>
      </c>
      <c r="D1301" s="469">
        <f t="shared" si="79"/>
        <v>145672.66666666558</v>
      </c>
      <c r="E1301" s="511">
        <f t="shared" si="83"/>
        <v>72836.333333333328</v>
      </c>
      <c r="F1301" s="469">
        <f t="shared" si="78"/>
        <v>72836.333333332252</v>
      </c>
      <c r="G1301" s="935">
        <f t="shared" si="80"/>
        <v>89220.822867385621</v>
      </c>
      <c r="H1301" s="938">
        <f t="shared" si="81"/>
        <v>89220.822867385621</v>
      </c>
      <c r="I1301" s="509">
        <f t="shared" si="82"/>
        <v>0</v>
      </c>
      <c r="J1301" s="509"/>
      <c r="K1301" s="640"/>
      <c r="L1301" s="514"/>
      <c r="M1301" s="640"/>
      <c r="N1301" s="514"/>
      <c r="O1301" s="514"/>
    </row>
    <row r="1302" spans="3:15">
      <c r="C1302" s="505">
        <f>IF(D1254="","-",+C1301+1)</f>
        <v>2057</v>
      </c>
      <c r="D1302" s="469">
        <f t="shared" si="79"/>
        <v>72836.333333332252</v>
      </c>
      <c r="E1302" s="511">
        <f t="shared" si="83"/>
        <v>72836.333333332252</v>
      </c>
      <c r="F1302" s="469">
        <f t="shared" si="78"/>
        <v>0</v>
      </c>
      <c r="G1302" s="935">
        <f t="shared" si="80"/>
        <v>78297.829844682987</v>
      </c>
      <c r="H1302" s="938">
        <f t="shared" si="81"/>
        <v>78297.829844682987</v>
      </c>
      <c r="I1302" s="509">
        <f t="shared" si="82"/>
        <v>0</v>
      </c>
      <c r="J1302" s="509"/>
      <c r="K1302" s="640"/>
      <c r="L1302" s="514"/>
      <c r="M1302" s="640"/>
      <c r="N1302" s="514"/>
      <c r="O1302" s="514"/>
    </row>
    <row r="1303" spans="3:15">
      <c r="C1303" s="505">
        <f>IF(D1254="","-",+C1302+1)</f>
        <v>2058</v>
      </c>
      <c r="D1303" s="469">
        <f t="shared" si="79"/>
        <v>0</v>
      </c>
      <c r="E1303" s="511">
        <f t="shared" si="83"/>
        <v>0</v>
      </c>
      <c r="F1303" s="469">
        <f t="shared" si="78"/>
        <v>0</v>
      </c>
      <c r="G1303" s="935">
        <f t="shared" si="80"/>
        <v>0</v>
      </c>
      <c r="H1303" s="938">
        <f t="shared" si="81"/>
        <v>0</v>
      </c>
      <c r="I1303" s="509">
        <f t="shared" si="82"/>
        <v>0</v>
      </c>
      <c r="J1303" s="509"/>
      <c r="K1303" s="640"/>
      <c r="L1303" s="514"/>
      <c r="M1303" s="640"/>
      <c r="N1303" s="514"/>
      <c r="O1303" s="514"/>
    </row>
    <row r="1304" spans="3:15">
      <c r="C1304" s="505">
        <f>IF(D1254="","-",+C1303+1)</f>
        <v>2059</v>
      </c>
      <c r="D1304" s="469">
        <f t="shared" si="79"/>
        <v>0</v>
      </c>
      <c r="E1304" s="511">
        <f t="shared" si="83"/>
        <v>0</v>
      </c>
      <c r="F1304" s="469">
        <f t="shared" si="78"/>
        <v>0</v>
      </c>
      <c r="G1304" s="935">
        <f t="shared" si="80"/>
        <v>0</v>
      </c>
      <c r="H1304" s="938">
        <f t="shared" si="81"/>
        <v>0</v>
      </c>
      <c r="I1304" s="509">
        <f t="shared" si="82"/>
        <v>0</v>
      </c>
      <c r="J1304" s="509"/>
      <c r="K1304" s="640"/>
      <c r="L1304" s="514"/>
      <c r="M1304" s="640"/>
      <c r="N1304" s="514"/>
      <c r="O1304" s="514"/>
    </row>
    <row r="1305" spans="3:15">
      <c r="C1305" s="505">
        <f>IF(D1254="","-",+C1304+1)</f>
        <v>2060</v>
      </c>
      <c r="D1305" s="469">
        <f t="shared" si="79"/>
        <v>0</v>
      </c>
      <c r="E1305" s="511">
        <f t="shared" si="83"/>
        <v>0</v>
      </c>
      <c r="F1305" s="469">
        <f t="shared" si="78"/>
        <v>0</v>
      </c>
      <c r="G1305" s="935">
        <f t="shared" si="80"/>
        <v>0</v>
      </c>
      <c r="H1305" s="938">
        <f t="shared" si="81"/>
        <v>0</v>
      </c>
      <c r="I1305" s="509">
        <f t="shared" si="82"/>
        <v>0</v>
      </c>
      <c r="J1305" s="509"/>
      <c r="K1305" s="640"/>
      <c r="L1305" s="514"/>
      <c r="M1305" s="640"/>
      <c r="N1305" s="514"/>
      <c r="O1305" s="514"/>
    </row>
    <row r="1306" spans="3:15">
      <c r="C1306" s="505">
        <f>IF(D1254="","-",+C1305+1)</f>
        <v>2061</v>
      </c>
      <c r="D1306" s="469">
        <f t="shared" si="79"/>
        <v>0</v>
      </c>
      <c r="E1306" s="511">
        <f t="shared" si="83"/>
        <v>0</v>
      </c>
      <c r="F1306" s="469">
        <f t="shared" si="78"/>
        <v>0</v>
      </c>
      <c r="G1306" s="935">
        <f t="shared" si="80"/>
        <v>0</v>
      </c>
      <c r="H1306" s="938">
        <f t="shared" si="81"/>
        <v>0</v>
      </c>
      <c r="I1306" s="509">
        <f t="shared" si="82"/>
        <v>0</v>
      </c>
      <c r="J1306" s="509"/>
      <c r="K1306" s="640"/>
      <c r="L1306" s="514"/>
      <c r="M1306" s="640"/>
      <c r="N1306" s="514"/>
      <c r="O1306" s="514"/>
    </row>
    <row r="1307" spans="3:15">
      <c r="C1307" s="505">
        <f>IF(D1254="","-",+C1306+1)</f>
        <v>2062</v>
      </c>
      <c r="D1307" s="469">
        <f t="shared" si="79"/>
        <v>0</v>
      </c>
      <c r="E1307" s="511">
        <f t="shared" si="83"/>
        <v>0</v>
      </c>
      <c r="F1307" s="469">
        <f t="shared" si="78"/>
        <v>0</v>
      </c>
      <c r="G1307" s="935">
        <f t="shared" si="80"/>
        <v>0</v>
      </c>
      <c r="H1307" s="938">
        <f t="shared" si="81"/>
        <v>0</v>
      </c>
      <c r="I1307" s="509">
        <f t="shared" si="82"/>
        <v>0</v>
      </c>
      <c r="J1307" s="509"/>
      <c r="K1307" s="640"/>
      <c r="L1307" s="514"/>
      <c r="M1307" s="640"/>
      <c r="N1307" s="514"/>
      <c r="O1307" s="514"/>
    </row>
    <row r="1308" spans="3:15">
      <c r="C1308" s="505">
        <f>IF(D1254="","-",+C1307+1)</f>
        <v>2063</v>
      </c>
      <c r="D1308" s="469">
        <f t="shared" si="79"/>
        <v>0</v>
      </c>
      <c r="E1308" s="511">
        <f t="shared" si="83"/>
        <v>0</v>
      </c>
      <c r="F1308" s="469">
        <f t="shared" si="78"/>
        <v>0</v>
      </c>
      <c r="G1308" s="935">
        <f t="shared" si="80"/>
        <v>0</v>
      </c>
      <c r="H1308" s="938">
        <f t="shared" si="81"/>
        <v>0</v>
      </c>
      <c r="I1308" s="509">
        <f t="shared" si="82"/>
        <v>0</v>
      </c>
      <c r="J1308" s="509"/>
      <c r="K1308" s="640"/>
      <c r="L1308" s="514"/>
      <c r="M1308" s="640"/>
      <c r="N1308" s="514"/>
      <c r="O1308" s="514"/>
    </row>
    <row r="1309" spans="3:15">
      <c r="C1309" s="505">
        <f>IF(D1254="","-",+C1308+1)</f>
        <v>2064</v>
      </c>
      <c r="D1309" s="469">
        <f t="shared" si="79"/>
        <v>0</v>
      </c>
      <c r="E1309" s="511">
        <f t="shared" si="83"/>
        <v>0</v>
      </c>
      <c r="F1309" s="469">
        <f t="shared" si="78"/>
        <v>0</v>
      </c>
      <c r="G1309" s="935">
        <f t="shared" si="80"/>
        <v>0</v>
      </c>
      <c r="H1309" s="938">
        <f t="shared" si="81"/>
        <v>0</v>
      </c>
      <c r="I1309" s="509">
        <f t="shared" si="82"/>
        <v>0</v>
      </c>
      <c r="J1309" s="509"/>
      <c r="K1309" s="640"/>
      <c r="L1309" s="514"/>
      <c r="M1309" s="640"/>
      <c r="N1309" s="514"/>
      <c r="O1309" s="514"/>
    </row>
    <row r="1310" spans="3:15">
      <c r="C1310" s="505">
        <f>IF(D1254="","-",+C1309+1)</f>
        <v>2065</v>
      </c>
      <c r="D1310" s="469">
        <f t="shared" si="79"/>
        <v>0</v>
      </c>
      <c r="E1310" s="511">
        <f t="shared" si="83"/>
        <v>0</v>
      </c>
      <c r="F1310" s="469">
        <f t="shared" si="78"/>
        <v>0</v>
      </c>
      <c r="G1310" s="935">
        <f t="shared" si="80"/>
        <v>0</v>
      </c>
      <c r="H1310" s="938">
        <f t="shared" si="81"/>
        <v>0</v>
      </c>
      <c r="I1310" s="509">
        <f t="shared" si="82"/>
        <v>0</v>
      </c>
      <c r="J1310" s="509"/>
      <c r="K1310" s="640"/>
      <c r="L1310" s="514"/>
      <c r="M1310" s="640"/>
      <c r="N1310" s="514"/>
      <c r="O1310" s="514"/>
    </row>
    <row r="1311" spans="3:15">
      <c r="C1311" s="505">
        <f>IF(D1254="","-",+C1310+1)</f>
        <v>2066</v>
      </c>
      <c r="D1311" s="469">
        <f t="shared" si="79"/>
        <v>0</v>
      </c>
      <c r="E1311" s="511">
        <f t="shared" si="83"/>
        <v>0</v>
      </c>
      <c r="F1311" s="469">
        <f t="shared" si="78"/>
        <v>0</v>
      </c>
      <c r="G1311" s="935">
        <f t="shared" si="80"/>
        <v>0</v>
      </c>
      <c r="H1311" s="938">
        <f t="shared" si="81"/>
        <v>0</v>
      </c>
      <c r="I1311" s="509">
        <f t="shared" si="82"/>
        <v>0</v>
      </c>
      <c r="J1311" s="509"/>
      <c r="K1311" s="640"/>
      <c r="L1311" s="514"/>
      <c r="M1311" s="640"/>
      <c r="N1311" s="514"/>
      <c r="O1311" s="514"/>
    </row>
    <row r="1312" spans="3:15">
      <c r="C1312" s="505">
        <f>IF(D1254="","-",+C1311+1)</f>
        <v>2067</v>
      </c>
      <c r="D1312" s="469">
        <f t="shared" si="79"/>
        <v>0</v>
      </c>
      <c r="E1312" s="511">
        <f t="shared" si="83"/>
        <v>0</v>
      </c>
      <c r="F1312" s="469">
        <f t="shared" si="78"/>
        <v>0</v>
      </c>
      <c r="G1312" s="935">
        <f t="shared" si="80"/>
        <v>0</v>
      </c>
      <c r="H1312" s="938">
        <f t="shared" si="81"/>
        <v>0</v>
      </c>
      <c r="I1312" s="509">
        <f t="shared" si="82"/>
        <v>0</v>
      </c>
      <c r="J1312" s="509"/>
      <c r="K1312" s="640"/>
      <c r="L1312" s="514"/>
      <c r="M1312" s="640"/>
      <c r="N1312" s="514"/>
      <c r="O1312" s="514"/>
    </row>
    <row r="1313" spans="3:15">
      <c r="C1313" s="505">
        <f>IF(D1254="","-",+C1312+1)</f>
        <v>2068</v>
      </c>
      <c r="D1313" s="469">
        <f t="shared" si="79"/>
        <v>0</v>
      </c>
      <c r="E1313" s="511">
        <f t="shared" si="83"/>
        <v>0</v>
      </c>
      <c r="F1313" s="469">
        <f t="shared" si="78"/>
        <v>0</v>
      </c>
      <c r="G1313" s="935">
        <f t="shared" si="80"/>
        <v>0</v>
      </c>
      <c r="H1313" s="938">
        <f t="shared" si="81"/>
        <v>0</v>
      </c>
      <c r="I1313" s="509">
        <f t="shared" si="82"/>
        <v>0</v>
      </c>
      <c r="J1313" s="509"/>
      <c r="K1313" s="640"/>
      <c r="L1313" s="514"/>
      <c r="M1313" s="640"/>
      <c r="N1313" s="514"/>
      <c r="O1313" s="514"/>
    </row>
    <row r="1314" spans="3:15">
      <c r="C1314" s="505">
        <f>IF(D1254="","-",+C1313+1)</f>
        <v>2069</v>
      </c>
      <c r="D1314" s="469">
        <f t="shared" si="79"/>
        <v>0</v>
      </c>
      <c r="E1314" s="511">
        <f t="shared" si="83"/>
        <v>0</v>
      </c>
      <c r="F1314" s="469">
        <f t="shared" si="78"/>
        <v>0</v>
      </c>
      <c r="G1314" s="935">
        <f t="shared" si="80"/>
        <v>0</v>
      </c>
      <c r="H1314" s="938">
        <f t="shared" si="81"/>
        <v>0</v>
      </c>
      <c r="I1314" s="509">
        <f t="shared" si="82"/>
        <v>0</v>
      </c>
      <c r="J1314" s="509"/>
      <c r="K1314" s="640"/>
      <c r="L1314" s="514"/>
      <c r="M1314" s="640"/>
      <c r="N1314" s="514"/>
      <c r="O1314" s="514"/>
    </row>
    <row r="1315" spans="3:15">
      <c r="C1315" s="505">
        <f>IF(D1254="","-",+C1314+1)</f>
        <v>2070</v>
      </c>
      <c r="D1315" s="469">
        <f t="shared" si="79"/>
        <v>0</v>
      </c>
      <c r="E1315" s="511">
        <f t="shared" si="83"/>
        <v>0</v>
      </c>
      <c r="F1315" s="469">
        <f t="shared" si="78"/>
        <v>0</v>
      </c>
      <c r="G1315" s="935">
        <f t="shared" si="80"/>
        <v>0</v>
      </c>
      <c r="H1315" s="938">
        <f t="shared" si="81"/>
        <v>0</v>
      </c>
      <c r="I1315" s="509">
        <f t="shared" si="82"/>
        <v>0</v>
      </c>
      <c r="J1315" s="509"/>
      <c r="K1315" s="640"/>
      <c r="L1315" s="514"/>
      <c r="M1315" s="640"/>
      <c r="N1315" s="514"/>
      <c r="O1315" s="514"/>
    </row>
    <row r="1316" spans="3:15">
      <c r="C1316" s="505">
        <f>IF(D1254="","-",+C1315+1)</f>
        <v>2071</v>
      </c>
      <c r="D1316" s="469">
        <f t="shared" si="79"/>
        <v>0</v>
      </c>
      <c r="E1316" s="511">
        <f t="shared" si="83"/>
        <v>0</v>
      </c>
      <c r="F1316" s="469">
        <f t="shared" si="78"/>
        <v>0</v>
      </c>
      <c r="G1316" s="935">
        <f t="shared" si="80"/>
        <v>0</v>
      </c>
      <c r="H1316" s="938">
        <f t="shared" si="81"/>
        <v>0</v>
      </c>
      <c r="I1316" s="509">
        <f t="shared" si="82"/>
        <v>0</v>
      </c>
      <c r="J1316" s="509"/>
      <c r="K1316" s="640"/>
      <c r="L1316" s="514"/>
      <c r="M1316" s="640"/>
      <c r="N1316" s="514"/>
      <c r="O1316" s="514"/>
    </row>
    <row r="1317" spans="3:15">
      <c r="C1317" s="505">
        <f>IF(D1254="","-",+C1316+1)</f>
        <v>2072</v>
      </c>
      <c r="D1317" s="469">
        <f t="shared" si="79"/>
        <v>0</v>
      </c>
      <c r="E1317" s="511">
        <f t="shared" si="83"/>
        <v>0</v>
      </c>
      <c r="F1317" s="469">
        <f t="shared" si="78"/>
        <v>0</v>
      </c>
      <c r="G1317" s="935">
        <f t="shared" si="80"/>
        <v>0</v>
      </c>
      <c r="H1317" s="938">
        <f t="shared" si="81"/>
        <v>0</v>
      </c>
      <c r="I1317" s="509">
        <f t="shared" si="82"/>
        <v>0</v>
      </c>
      <c r="J1317" s="509"/>
      <c r="K1317" s="640"/>
      <c r="L1317" s="514"/>
      <c r="M1317" s="640"/>
      <c r="N1317" s="514"/>
      <c r="O1317" s="514"/>
    </row>
    <row r="1318" spans="3:15">
      <c r="C1318" s="505">
        <f>IF(D1254="","-",+C1317+1)</f>
        <v>2073</v>
      </c>
      <c r="D1318" s="469">
        <f t="shared" si="79"/>
        <v>0</v>
      </c>
      <c r="E1318" s="511">
        <f t="shared" si="83"/>
        <v>0</v>
      </c>
      <c r="F1318" s="469">
        <f t="shared" si="78"/>
        <v>0</v>
      </c>
      <c r="G1318" s="935">
        <f t="shared" si="80"/>
        <v>0</v>
      </c>
      <c r="H1318" s="938">
        <f t="shared" si="81"/>
        <v>0</v>
      </c>
      <c r="I1318" s="509">
        <f t="shared" si="82"/>
        <v>0</v>
      </c>
      <c r="J1318" s="509"/>
      <c r="K1318" s="640"/>
      <c r="L1318" s="514"/>
      <c r="M1318" s="640"/>
      <c r="N1318" s="514"/>
      <c r="O1318" s="514"/>
    </row>
    <row r="1319" spans="3:15" ht="13.5" thickBot="1">
      <c r="C1319" s="515">
        <f>IF(D1254="","-",+C1318+1)</f>
        <v>2074</v>
      </c>
      <c r="D1319" s="516">
        <f t="shared" si="79"/>
        <v>0</v>
      </c>
      <c r="E1319" s="517">
        <f t="shared" si="83"/>
        <v>0</v>
      </c>
      <c r="F1319" s="516">
        <f t="shared" si="78"/>
        <v>0</v>
      </c>
      <c r="G1319" s="946">
        <f t="shared" si="80"/>
        <v>0</v>
      </c>
      <c r="H1319" s="946">
        <f t="shared" si="81"/>
        <v>0</v>
      </c>
      <c r="I1319" s="519">
        <f t="shared" si="82"/>
        <v>0</v>
      </c>
      <c r="J1319" s="509"/>
      <c r="K1319" s="641"/>
      <c r="L1319" s="521"/>
      <c r="M1319" s="641"/>
      <c r="N1319" s="521"/>
      <c r="O1319" s="521"/>
    </row>
    <row r="1320" spans="3:15">
      <c r="C1320" s="469" t="s">
        <v>288</v>
      </c>
      <c r="D1320" s="915"/>
      <c r="E1320" s="469"/>
      <c r="F1320" s="915"/>
      <c r="G1320" s="915">
        <f>SUM(G1260:G1319)</f>
        <v>13151971.552976301</v>
      </c>
      <c r="H1320" s="915">
        <f>SUM(H1260:H1319)</f>
        <v>13151971.552976301</v>
      </c>
      <c r="I1320" s="915">
        <f>SUM(I1260:I1319)</f>
        <v>0</v>
      </c>
      <c r="J1320" s="915"/>
      <c r="K1320" s="915"/>
      <c r="L1320" s="915"/>
      <c r="M1320" s="915"/>
      <c r="N1320" s="915"/>
      <c r="O1320" s="4"/>
    </row>
    <row r="1321" spans="3:15">
      <c r="D1321" s="79"/>
      <c r="E1321" s="4"/>
      <c r="F1321" s="4"/>
      <c r="G1321" s="4"/>
      <c r="H1321" s="914"/>
      <c r="I1321" s="914"/>
      <c r="J1321" s="915"/>
      <c r="K1321" s="914"/>
      <c r="L1321" s="914"/>
      <c r="M1321" s="914"/>
      <c r="N1321" s="914"/>
      <c r="O1321" s="4"/>
    </row>
    <row r="1322" spans="3:15">
      <c r="C1322" s="4" t="s">
        <v>595</v>
      </c>
      <c r="D1322" s="79"/>
      <c r="E1322" s="4"/>
      <c r="F1322" s="4"/>
      <c r="G1322" s="4"/>
      <c r="H1322" s="914"/>
      <c r="I1322" s="914"/>
      <c r="J1322" s="915"/>
      <c r="K1322" s="914"/>
      <c r="L1322" s="914"/>
      <c r="M1322" s="914"/>
      <c r="N1322" s="914"/>
      <c r="O1322" s="4"/>
    </row>
    <row r="1323" spans="3:15">
      <c r="C1323" s="4"/>
      <c r="D1323" s="79"/>
      <c r="E1323" s="4"/>
      <c r="F1323" s="4"/>
      <c r="G1323" s="4"/>
      <c r="H1323" s="914"/>
      <c r="I1323" s="914"/>
      <c r="J1323" s="915"/>
      <c r="K1323" s="914"/>
      <c r="L1323" s="914"/>
      <c r="M1323" s="914"/>
      <c r="N1323" s="914"/>
      <c r="O1323" s="4"/>
    </row>
    <row r="1324" spans="3:15">
      <c r="C1324" s="479" t="s">
        <v>924</v>
      </c>
      <c r="D1324" s="469"/>
      <c r="E1324" s="469"/>
      <c r="F1324" s="469"/>
      <c r="G1324" s="915"/>
      <c r="H1324" s="915"/>
      <c r="I1324" s="471"/>
      <c r="J1324" s="471"/>
      <c r="K1324" s="471"/>
      <c r="L1324" s="471"/>
      <c r="M1324" s="471"/>
      <c r="N1324" s="471"/>
      <c r="O1324" s="4"/>
    </row>
    <row r="1325" spans="3:15">
      <c r="C1325" s="479" t="s">
        <v>476</v>
      </c>
      <c r="D1325" s="469"/>
      <c r="E1325" s="469"/>
      <c r="F1325" s="469"/>
      <c r="G1325" s="915"/>
      <c r="H1325" s="915"/>
      <c r="I1325" s="471"/>
      <c r="J1325" s="471"/>
      <c r="K1325" s="471"/>
      <c r="L1325" s="471"/>
      <c r="M1325" s="471"/>
      <c r="N1325" s="471"/>
      <c r="O1325" s="4"/>
    </row>
    <row r="1326" spans="3:15">
      <c r="C1326" s="470" t="s">
        <v>289</v>
      </c>
      <c r="D1326" s="469"/>
      <c r="E1326" s="469"/>
      <c r="F1326" s="469"/>
      <c r="G1326" s="915"/>
      <c r="H1326" s="915"/>
      <c r="I1326" s="471"/>
      <c r="J1326" s="471"/>
      <c r="K1326" s="471"/>
      <c r="L1326" s="471"/>
      <c r="M1326" s="471"/>
      <c r="N1326" s="471"/>
      <c r="O1326" s="4"/>
    </row>
    <row r="1327" spans="3:15">
      <c r="C1327" s="470"/>
      <c r="D1327" s="469"/>
      <c r="E1327" s="469"/>
      <c r="F1327" s="469"/>
      <c r="G1327" s="915"/>
      <c r="H1327" s="915"/>
      <c r="I1327" s="471"/>
      <c r="J1327" s="471"/>
      <c r="K1327" s="471"/>
      <c r="L1327" s="471"/>
      <c r="M1327" s="471"/>
      <c r="N1327" s="471"/>
      <c r="O1327" s="4"/>
    </row>
    <row r="1328" spans="3:15">
      <c r="C1328" s="1275" t="s">
        <v>460</v>
      </c>
      <c r="D1328" s="1275"/>
      <c r="E1328" s="1275"/>
      <c r="F1328" s="1275"/>
      <c r="G1328" s="1275"/>
      <c r="H1328" s="1275"/>
      <c r="I1328" s="1275"/>
      <c r="J1328" s="1275"/>
      <c r="K1328" s="1275"/>
      <c r="L1328" s="1275"/>
      <c r="M1328" s="1275"/>
      <c r="N1328" s="1275"/>
      <c r="O1328" s="1275"/>
    </row>
    <row r="1329" spans="1:16">
      <c r="C1329" s="1275"/>
      <c r="D1329" s="1275"/>
      <c r="E1329" s="1275"/>
      <c r="F1329" s="1275"/>
      <c r="G1329" s="1275"/>
      <c r="H1329" s="1275"/>
      <c r="I1329" s="1275"/>
      <c r="J1329" s="1275"/>
      <c r="K1329" s="1275"/>
      <c r="L1329" s="1275"/>
      <c r="M1329" s="1275"/>
      <c r="N1329" s="1275"/>
      <c r="O1329" s="1275"/>
    </row>
    <row r="1330" spans="1:16" ht="20.25">
      <c r="A1330" s="411" t="s">
        <v>921</v>
      </c>
      <c r="B1330" s="4"/>
      <c r="C1330" s="4"/>
      <c r="D1330" s="79"/>
      <c r="E1330" s="4"/>
      <c r="F1330" s="81"/>
      <c r="G1330" s="4"/>
      <c r="H1330" s="914"/>
      <c r="K1330" s="11"/>
      <c r="L1330" s="11"/>
      <c r="M1330" s="11"/>
      <c r="N1330" s="11" t="str">
        <f>"Page "&amp;SUM(P$6:P1330)&amp;" of "</f>
        <v xml:space="preserve">Page 15 of </v>
      </c>
      <c r="O1330" s="412">
        <f>COUNT(P$6:P$59579)</f>
        <v>22</v>
      </c>
      <c r="P1330" s="4">
        <v>1</v>
      </c>
    </row>
    <row r="1331" spans="1:16">
      <c r="B1331" s="4"/>
      <c r="C1331" s="4"/>
      <c r="D1331" s="79"/>
      <c r="E1331" s="4"/>
      <c r="F1331" s="4"/>
      <c r="G1331" s="4"/>
      <c r="H1331" s="914"/>
      <c r="I1331" s="4"/>
      <c r="J1331" s="4"/>
      <c r="K1331" s="4"/>
      <c r="L1331" s="4"/>
      <c r="M1331" s="4"/>
      <c r="N1331" s="4"/>
      <c r="O1331" s="4"/>
    </row>
    <row r="1332" spans="1:16" ht="18">
      <c r="B1332" s="413" t="s">
        <v>174</v>
      </c>
      <c r="C1332" s="472" t="s">
        <v>290</v>
      </c>
      <c r="D1332" s="79"/>
      <c r="E1332" s="4"/>
      <c r="F1332" s="4"/>
      <c r="G1332" s="4"/>
      <c r="H1332" s="914"/>
      <c r="I1332" s="914"/>
      <c r="J1332" s="915"/>
      <c r="K1332" s="914"/>
      <c r="L1332" s="914"/>
      <c r="M1332" s="914"/>
      <c r="N1332" s="914"/>
      <c r="O1332" s="4"/>
    </row>
    <row r="1333" spans="1:16" ht="18.75">
      <c r="B1333" s="413"/>
      <c r="C1333" s="13"/>
      <c r="D1333" s="79"/>
      <c r="E1333" s="4"/>
      <c r="F1333" s="4"/>
      <c r="G1333" s="4"/>
      <c r="H1333" s="914"/>
      <c r="I1333" s="914"/>
      <c r="J1333" s="915"/>
      <c r="K1333" s="914"/>
      <c r="L1333" s="914"/>
      <c r="M1333" s="914"/>
      <c r="N1333" s="914"/>
      <c r="O1333" s="4"/>
    </row>
    <row r="1334" spans="1:16" ht="18.75">
      <c r="B1334" s="413"/>
      <c r="C1334" s="13" t="s">
        <v>291</v>
      </c>
      <c r="D1334" s="79"/>
      <c r="E1334" s="4"/>
      <c r="F1334" s="4"/>
      <c r="G1334" s="4"/>
      <c r="H1334" s="914"/>
      <c r="I1334" s="914"/>
      <c r="J1334" s="915"/>
      <c r="K1334" s="914"/>
      <c r="L1334" s="914"/>
      <c r="M1334" s="914"/>
      <c r="N1334" s="914"/>
      <c r="O1334" s="4"/>
    </row>
    <row r="1335" spans="1:16" ht="15.75" thickBot="1">
      <c r="C1335" s="247"/>
      <c r="D1335" s="79"/>
      <c r="E1335" s="4"/>
      <c r="F1335" s="4"/>
      <c r="G1335" s="4"/>
      <c r="H1335" s="914"/>
      <c r="I1335" s="914"/>
      <c r="J1335" s="915"/>
      <c r="K1335" s="914"/>
      <c r="L1335" s="914"/>
      <c r="M1335" s="914"/>
      <c r="N1335" s="914"/>
      <c r="O1335" s="4"/>
    </row>
    <row r="1336" spans="1:16" ht="15.75">
      <c r="C1336" s="414" t="s">
        <v>292</v>
      </c>
      <c r="D1336" s="79"/>
      <c r="E1336" s="4"/>
      <c r="F1336" s="4"/>
      <c r="G1336" s="948"/>
      <c r="H1336" s="4" t="s">
        <v>271</v>
      </c>
      <c r="I1336" s="4"/>
      <c r="J1336" s="4"/>
      <c r="K1336" s="473" t="s">
        <v>296</v>
      </c>
      <c r="L1336" s="474"/>
      <c r="M1336" s="475"/>
      <c r="N1336" s="917">
        <f>VLOOKUP(I1342,C1349:O1408,5)</f>
        <v>325586.45574326697</v>
      </c>
      <c r="O1336" s="4"/>
    </row>
    <row r="1337" spans="1:16" ht="15.75">
      <c r="C1337" s="414"/>
      <c r="D1337" s="79"/>
      <c r="E1337" s="4"/>
      <c r="F1337" s="4"/>
      <c r="G1337" s="4"/>
      <c r="H1337" s="918"/>
      <c r="I1337" s="918"/>
      <c r="J1337" s="919"/>
      <c r="K1337" s="478" t="s">
        <v>297</v>
      </c>
      <c r="L1337" s="920"/>
      <c r="M1337" s="4"/>
      <c r="N1337" s="921">
        <f>VLOOKUP(I1342,C1349:O1408,6)</f>
        <v>325586.45574326697</v>
      </c>
      <c r="O1337" s="4"/>
    </row>
    <row r="1338" spans="1:16" ht="13.5" thickBot="1">
      <c r="C1338" s="479" t="s">
        <v>293</v>
      </c>
      <c r="D1338" s="1276" t="s">
        <v>938</v>
      </c>
      <c r="E1338" s="1276"/>
      <c r="F1338" s="1276"/>
      <c r="G1338" s="1276"/>
      <c r="H1338" s="1276"/>
      <c r="I1338" s="1276"/>
      <c r="J1338" s="915"/>
      <c r="K1338" s="922" t="s">
        <v>450</v>
      </c>
      <c r="L1338" s="923"/>
      <c r="M1338" s="923"/>
      <c r="N1338" s="924">
        <f>+N1337-N1336</f>
        <v>0</v>
      </c>
      <c r="O1338" s="4"/>
    </row>
    <row r="1339" spans="1:16">
      <c r="C1339" s="481"/>
      <c r="D1339" s="482"/>
      <c r="E1339" s="469"/>
      <c r="F1339" s="469"/>
      <c r="G1339" s="483"/>
      <c r="H1339" s="914"/>
      <c r="I1339" s="914"/>
      <c r="J1339" s="915"/>
      <c r="K1339" s="914"/>
      <c r="L1339" s="914"/>
      <c r="M1339" s="914"/>
      <c r="N1339" s="914"/>
      <c r="O1339" s="4"/>
    </row>
    <row r="1340" spans="1:16" ht="13.5" thickBot="1">
      <c r="C1340" s="481"/>
      <c r="D1340" s="925"/>
      <c r="E1340" s="483"/>
      <c r="F1340" s="483"/>
      <c r="G1340" s="483"/>
      <c r="H1340" s="483"/>
      <c r="I1340" s="483"/>
      <c r="J1340" s="483"/>
      <c r="K1340" s="483"/>
      <c r="L1340" s="483"/>
      <c r="M1340" s="483"/>
      <c r="N1340" s="483"/>
      <c r="O1340" s="4"/>
    </row>
    <row r="1341" spans="1:16" ht="13.5" thickBot="1">
      <c r="C1341" s="484" t="s">
        <v>294</v>
      </c>
      <c r="D1341" s="485"/>
      <c r="E1341" s="485"/>
      <c r="F1341" s="485"/>
      <c r="G1341" s="485"/>
      <c r="H1341" s="485"/>
      <c r="I1341" s="486"/>
      <c r="K1341" s="4"/>
      <c r="L1341" s="4"/>
      <c r="M1341" s="4"/>
      <c r="N1341" s="4"/>
      <c r="O1341" s="4"/>
    </row>
    <row r="1342" spans="1:16" ht="15">
      <c r="C1342" s="487" t="s">
        <v>272</v>
      </c>
      <c r="D1342" s="926">
        <v>1975056</v>
      </c>
      <c r="E1342" s="4" t="s">
        <v>273</v>
      </c>
      <c r="G1342" s="79"/>
      <c r="H1342" s="79"/>
      <c r="I1342" s="488">
        <v>2018</v>
      </c>
      <c r="J1342" s="135"/>
      <c r="K1342" s="1277" t="s">
        <v>459</v>
      </c>
      <c r="L1342" s="1277"/>
      <c r="M1342" s="1277"/>
      <c r="N1342" s="1277"/>
      <c r="O1342" s="1277"/>
    </row>
    <row r="1343" spans="1:16">
      <c r="C1343" s="487" t="s">
        <v>275</v>
      </c>
      <c r="D1343" s="636">
        <v>2015</v>
      </c>
      <c r="E1343" s="487" t="s">
        <v>276</v>
      </c>
      <c r="F1343" s="79"/>
      <c r="H1343"/>
      <c r="I1343" s="927">
        <f>IF(G1336="",0,$F$15)</f>
        <v>0</v>
      </c>
      <c r="J1343" s="489"/>
      <c r="K1343" s="915" t="s">
        <v>459</v>
      </c>
    </row>
    <row r="1344" spans="1:16">
      <c r="C1344" s="487" t="s">
        <v>277</v>
      </c>
      <c r="D1344" s="926">
        <v>12</v>
      </c>
      <c r="E1344" s="487" t="s">
        <v>278</v>
      </c>
      <c r="F1344" s="79"/>
      <c r="H1344"/>
      <c r="I1344" s="490">
        <f>$G$70</f>
        <v>0.14996626714737105</v>
      </c>
      <c r="J1344" s="81"/>
      <c r="K1344" t="str">
        <f>"          INPUT PROJECTED ARR (WITH &amp; WITHOUT INCENTIVES) FROM EACH PRIOR YEAR"</f>
        <v xml:space="preserve">          INPUT PROJECTED ARR (WITH &amp; WITHOUT INCENTIVES) FROM EACH PRIOR YEAR</v>
      </c>
    </row>
    <row r="1345" spans="1:15">
      <c r="C1345" s="487" t="s">
        <v>279</v>
      </c>
      <c r="D1345" s="491">
        <f>G$79</f>
        <v>42</v>
      </c>
      <c r="E1345" s="487" t="s">
        <v>280</v>
      </c>
      <c r="F1345" s="79"/>
      <c r="H1345"/>
      <c r="I1345" s="490">
        <f>IF(G1336="",I1344,$G$67)</f>
        <v>0.14996626714737105</v>
      </c>
      <c r="J1345" s="81"/>
      <c r="K1345" t="s">
        <v>357</v>
      </c>
    </row>
    <row r="1346" spans="1:15" ht="13.5" thickBot="1">
      <c r="C1346" s="487" t="s">
        <v>281</v>
      </c>
      <c r="D1346" s="637" t="s">
        <v>923</v>
      </c>
      <c r="E1346" s="492" t="s">
        <v>282</v>
      </c>
      <c r="F1346" s="493"/>
      <c r="G1346" s="494"/>
      <c r="H1346" s="494"/>
      <c r="I1346" s="924">
        <f>IF(D1342=0,0,D1342/D1345)</f>
        <v>47025.142857142855</v>
      </c>
      <c r="J1346" s="915"/>
      <c r="K1346" s="915" t="s">
        <v>363</v>
      </c>
      <c r="L1346" s="915"/>
      <c r="M1346" s="915"/>
      <c r="N1346" s="915"/>
      <c r="O1346" s="4"/>
    </row>
    <row r="1347" spans="1:15" ht="51">
      <c r="A1347" s="12"/>
      <c r="B1347" s="12"/>
      <c r="C1347" s="495" t="s">
        <v>272</v>
      </c>
      <c r="D1347" s="928" t="s">
        <v>283</v>
      </c>
      <c r="E1347" s="929" t="s">
        <v>284</v>
      </c>
      <c r="F1347" s="928" t="s">
        <v>285</v>
      </c>
      <c r="G1347" s="929" t="s">
        <v>356</v>
      </c>
      <c r="H1347" s="930" t="s">
        <v>356</v>
      </c>
      <c r="I1347" s="495" t="s">
        <v>295</v>
      </c>
      <c r="J1347" s="499"/>
      <c r="K1347" s="929" t="s">
        <v>365</v>
      </c>
      <c r="L1347" s="931"/>
      <c r="M1347" s="929" t="s">
        <v>365</v>
      </c>
      <c r="N1347" s="931"/>
      <c r="O1347" s="931"/>
    </row>
    <row r="1348" spans="1:15" ht="13.5" thickBot="1">
      <c r="C1348" s="500" t="s">
        <v>177</v>
      </c>
      <c r="D1348" s="501" t="s">
        <v>178</v>
      </c>
      <c r="E1348" s="500" t="s">
        <v>37</v>
      </c>
      <c r="F1348" s="501" t="s">
        <v>178</v>
      </c>
      <c r="G1348" s="932" t="s">
        <v>298</v>
      </c>
      <c r="H1348" s="933" t="s">
        <v>300</v>
      </c>
      <c r="I1348" s="500" t="s">
        <v>389</v>
      </c>
      <c r="J1348" s="504"/>
      <c r="K1348" s="932" t="s">
        <v>287</v>
      </c>
      <c r="L1348" s="934"/>
      <c r="M1348" s="932" t="s">
        <v>300</v>
      </c>
      <c r="N1348" s="934"/>
      <c r="O1348" s="934"/>
    </row>
    <row r="1349" spans="1:15">
      <c r="C1349" s="505">
        <f>IF(D1343= "","-",D1343)</f>
        <v>2015</v>
      </c>
      <c r="D1349" s="469">
        <f>+D1342</f>
        <v>1975056</v>
      </c>
      <c r="E1349" s="935">
        <f>+I1346/12*(12-D1344)</f>
        <v>0</v>
      </c>
      <c r="F1349" s="469">
        <f t="shared" ref="F1349:F1408" si="84">+D1349-E1349</f>
        <v>1975056</v>
      </c>
      <c r="G1349" s="936">
        <f>+$I$1344*((D1349+F1349)/2)+E1349</f>
        <v>296191.77572701807</v>
      </c>
      <c r="H1349" s="937">
        <f>$I$1345*((D1349+F1349)/2)+E1349</f>
        <v>296191.77572701807</v>
      </c>
      <c r="I1349" s="509">
        <f>+H1349-G1349</f>
        <v>0</v>
      </c>
      <c r="J1349" s="509"/>
      <c r="K1349" s="639">
        <v>265269</v>
      </c>
      <c r="L1349" s="510"/>
      <c r="M1349" s="639">
        <v>265269</v>
      </c>
      <c r="N1349" s="510"/>
      <c r="O1349" s="510"/>
    </row>
    <row r="1350" spans="1:15">
      <c r="C1350" s="505">
        <f>IF(D1343="","-",+C1349+1)</f>
        <v>2016</v>
      </c>
      <c r="D1350" s="469">
        <f t="shared" ref="D1350:D1408" si="85">F1349</f>
        <v>1975056</v>
      </c>
      <c r="E1350" s="511">
        <f>IF(D1350&gt;$I$1346,$I$1346,D1350)</f>
        <v>47025.142857142855</v>
      </c>
      <c r="F1350" s="469">
        <f t="shared" si="84"/>
        <v>1928030.857142857</v>
      </c>
      <c r="G1350" s="935">
        <f t="shared" ref="G1350:G1408" si="86">+$I$1344*((D1350+F1350)/2)+E1350</f>
        <v>339690.82601598214</v>
      </c>
      <c r="H1350" s="938">
        <f t="shared" ref="H1350:H1408" si="87">$I$1345*((D1350+F1350)/2)+E1350</f>
        <v>339690.82601598214</v>
      </c>
      <c r="I1350" s="509">
        <f t="shared" ref="I1350:I1408" si="88">+H1350-G1350</f>
        <v>0</v>
      </c>
      <c r="J1350" s="509"/>
      <c r="K1350" s="640">
        <v>405050</v>
      </c>
      <c r="L1350" s="514"/>
      <c r="M1350" s="640">
        <v>405050</v>
      </c>
      <c r="N1350" s="514"/>
      <c r="O1350" s="514"/>
    </row>
    <row r="1351" spans="1:15">
      <c r="C1351" s="505">
        <f>IF(D1343="","-",+C1350+1)</f>
        <v>2017</v>
      </c>
      <c r="D1351" s="469">
        <f t="shared" si="85"/>
        <v>1928030.857142857</v>
      </c>
      <c r="E1351" s="511">
        <f t="shared" ref="E1351:E1408" si="89">IF(D1351&gt;$I$1346,$I$1346,D1351)</f>
        <v>47025.142857142855</v>
      </c>
      <c r="F1351" s="469">
        <f t="shared" si="84"/>
        <v>1881005.7142857141</v>
      </c>
      <c r="G1351" s="935">
        <f t="shared" si="86"/>
        <v>332638.64087962452</v>
      </c>
      <c r="H1351" s="938">
        <f t="shared" si="87"/>
        <v>332638.64087962452</v>
      </c>
      <c r="I1351" s="509">
        <f t="shared" si="88"/>
        <v>0</v>
      </c>
      <c r="J1351" s="509"/>
      <c r="K1351" s="640">
        <v>419228</v>
      </c>
      <c r="L1351" s="514"/>
      <c r="M1351" s="640">
        <v>419228</v>
      </c>
      <c r="N1351" s="514"/>
      <c r="O1351" s="514"/>
    </row>
    <row r="1352" spans="1:15">
      <c r="C1352" s="940">
        <f>IF(D1343="","-",+C1351+1)</f>
        <v>2018</v>
      </c>
      <c r="D1352" s="941">
        <f t="shared" si="85"/>
        <v>1881005.7142857141</v>
      </c>
      <c r="E1352" s="942">
        <f t="shared" si="89"/>
        <v>47025.142857142855</v>
      </c>
      <c r="F1352" s="941">
        <f t="shared" si="84"/>
        <v>1833980.5714285711</v>
      </c>
      <c r="G1352" s="943">
        <f t="shared" si="86"/>
        <v>325586.45574326697</v>
      </c>
      <c r="H1352" s="944">
        <f t="shared" si="87"/>
        <v>325586.45574326697</v>
      </c>
      <c r="I1352" s="945">
        <f t="shared" si="88"/>
        <v>0</v>
      </c>
      <c r="J1352" s="509"/>
      <c r="K1352" s="640"/>
      <c r="L1352" s="514"/>
      <c r="M1352" s="640"/>
      <c r="N1352" s="514"/>
      <c r="O1352" s="514"/>
    </row>
    <row r="1353" spans="1:15">
      <c r="C1353" s="505">
        <f>IF(D1343="","-",+C1352+1)</f>
        <v>2019</v>
      </c>
      <c r="D1353" s="469">
        <f t="shared" si="85"/>
        <v>1833980.5714285711</v>
      </c>
      <c r="E1353" s="511">
        <f t="shared" si="89"/>
        <v>47025.142857142855</v>
      </c>
      <c r="F1353" s="469">
        <f t="shared" si="84"/>
        <v>1786955.4285714282</v>
      </c>
      <c r="G1353" s="935">
        <f t="shared" si="86"/>
        <v>318534.27060690935</v>
      </c>
      <c r="H1353" s="938">
        <f t="shared" si="87"/>
        <v>318534.27060690935</v>
      </c>
      <c r="I1353" s="509">
        <f t="shared" si="88"/>
        <v>0</v>
      </c>
      <c r="J1353" s="509"/>
      <c r="K1353" s="640"/>
      <c r="L1353" s="514"/>
      <c r="M1353" s="640"/>
      <c r="N1353" s="514"/>
      <c r="O1353" s="514"/>
    </row>
    <row r="1354" spans="1:15">
      <c r="C1354" s="505">
        <f>IF(D1343="","-",+C1353+1)</f>
        <v>2020</v>
      </c>
      <c r="D1354" s="469">
        <f t="shared" si="85"/>
        <v>1786955.4285714282</v>
      </c>
      <c r="E1354" s="511">
        <f t="shared" si="89"/>
        <v>47025.142857142855</v>
      </c>
      <c r="F1354" s="469">
        <f t="shared" si="84"/>
        <v>1739930.2857142852</v>
      </c>
      <c r="G1354" s="935">
        <f t="shared" si="86"/>
        <v>311482.0854705518</v>
      </c>
      <c r="H1354" s="938">
        <f t="shared" si="87"/>
        <v>311482.0854705518</v>
      </c>
      <c r="I1354" s="509">
        <f t="shared" si="88"/>
        <v>0</v>
      </c>
      <c r="J1354" s="509"/>
      <c r="K1354" s="640"/>
      <c r="L1354" s="514"/>
      <c r="M1354" s="640"/>
      <c r="N1354" s="514"/>
      <c r="O1354" s="514"/>
    </row>
    <row r="1355" spans="1:15">
      <c r="C1355" s="505">
        <f>IF(D1343="","-",+C1354+1)</f>
        <v>2021</v>
      </c>
      <c r="D1355" s="469">
        <f t="shared" si="85"/>
        <v>1739930.2857142852</v>
      </c>
      <c r="E1355" s="511">
        <f t="shared" si="89"/>
        <v>47025.142857142855</v>
      </c>
      <c r="F1355" s="469">
        <f t="shared" si="84"/>
        <v>1692905.1428571423</v>
      </c>
      <c r="G1355" s="935">
        <f t="shared" si="86"/>
        <v>304429.90033419419</v>
      </c>
      <c r="H1355" s="938">
        <f t="shared" si="87"/>
        <v>304429.90033419419</v>
      </c>
      <c r="I1355" s="509">
        <f t="shared" si="88"/>
        <v>0</v>
      </c>
      <c r="J1355" s="509"/>
      <c r="K1355" s="640"/>
      <c r="L1355" s="514"/>
      <c r="M1355" s="640"/>
      <c r="N1355" s="514"/>
      <c r="O1355" s="514"/>
    </row>
    <row r="1356" spans="1:15">
      <c r="C1356" s="505">
        <f>IF(D1343="","-",+C1355+1)</f>
        <v>2022</v>
      </c>
      <c r="D1356" s="469">
        <f t="shared" si="85"/>
        <v>1692905.1428571423</v>
      </c>
      <c r="E1356" s="511">
        <f t="shared" si="89"/>
        <v>47025.142857142855</v>
      </c>
      <c r="F1356" s="469">
        <f t="shared" si="84"/>
        <v>1645879.9999999993</v>
      </c>
      <c r="G1356" s="935">
        <f t="shared" si="86"/>
        <v>297377.71519783663</v>
      </c>
      <c r="H1356" s="938">
        <f t="shared" si="87"/>
        <v>297377.71519783663</v>
      </c>
      <c r="I1356" s="509">
        <f t="shared" si="88"/>
        <v>0</v>
      </c>
      <c r="J1356" s="509"/>
      <c r="K1356" s="640"/>
      <c r="L1356" s="514"/>
      <c r="M1356" s="640"/>
      <c r="N1356" s="514"/>
      <c r="O1356" s="514"/>
    </row>
    <row r="1357" spans="1:15">
      <c r="C1357" s="505">
        <f>IF(D1343="","-",+C1356+1)</f>
        <v>2023</v>
      </c>
      <c r="D1357" s="469">
        <f t="shared" si="85"/>
        <v>1645879.9999999993</v>
      </c>
      <c r="E1357" s="511">
        <f t="shared" si="89"/>
        <v>47025.142857142855</v>
      </c>
      <c r="F1357" s="469">
        <f t="shared" si="84"/>
        <v>1598854.8571428563</v>
      </c>
      <c r="G1357" s="935">
        <f t="shared" si="86"/>
        <v>290325.53006147902</v>
      </c>
      <c r="H1357" s="938">
        <f t="shared" si="87"/>
        <v>290325.53006147902</v>
      </c>
      <c r="I1357" s="509">
        <f t="shared" si="88"/>
        <v>0</v>
      </c>
      <c r="J1357" s="509"/>
      <c r="K1357" s="640"/>
      <c r="L1357" s="514"/>
      <c r="M1357" s="640"/>
      <c r="N1357" s="514"/>
      <c r="O1357" s="514"/>
    </row>
    <row r="1358" spans="1:15">
      <c r="C1358" s="505">
        <f>IF(D1343="","-",+C1357+1)</f>
        <v>2024</v>
      </c>
      <c r="D1358" s="469">
        <f t="shared" si="85"/>
        <v>1598854.8571428563</v>
      </c>
      <c r="E1358" s="511">
        <f t="shared" si="89"/>
        <v>47025.142857142855</v>
      </c>
      <c r="F1358" s="469">
        <f t="shared" si="84"/>
        <v>1551829.7142857134</v>
      </c>
      <c r="G1358" s="935">
        <f t="shared" si="86"/>
        <v>283273.34492512146</v>
      </c>
      <c r="H1358" s="938">
        <f t="shared" si="87"/>
        <v>283273.34492512146</v>
      </c>
      <c r="I1358" s="509">
        <f t="shared" si="88"/>
        <v>0</v>
      </c>
      <c r="J1358" s="509"/>
      <c r="K1358" s="640"/>
      <c r="L1358" s="514"/>
      <c r="M1358" s="640"/>
      <c r="N1358" s="514"/>
      <c r="O1358" s="514"/>
    </row>
    <row r="1359" spans="1:15">
      <c r="C1359" s="505">
        <f>IF(D1343="","-",+C1358+1)</f>
        <v>2025</v>
      </c>
      <c r="D1359" s="469">
        <f t="shared" si="85"/>
        <v>1551829.7142857134</v>
      </c>
      <c r="E1359" s="511">
        <f t="shared" si="89"/>
        <v>47025.142857142855</v>
      </c>
      <c r="F1359" s="469">
        <f t="shared" si="84"/>
        <v>1504804.5714285704</v>
      </c>
      <c r="G1359" s="935">
        <f t="shared" si="86"/>
        <v>276221.15978876385</v>
      </c>
      <c r="H1359" s="938">
        <f t="shared" si="87"/>
        <v>276221.15978876385</v>
      </c>
      <c r="I1359" s="509">
        <f t="shared" si="88"/>
        <v>0</v>
      </c>
      <c r="J1359" s="509"/>
      <c r="K1359" s="640"/>
      <c r="L1359" s="514"/>
      <c r="M1359" s="640"/>
      <c r="N1359" s="514"/>
      <c r="O1359" s="514"/>
    </row>
    <row r="1360" spans="1:15">
      <c r="C1360" s="505">
        <f>IF(D1343="","-",+C1359+1)</f>
        <v>2026</v>
      </c>
      <c r="D1360" s="469">
        <f t="shared" si="85"/>
        <v>1504804.5714285704</v>
      </c>
      <c r="E1360" s="511">
        <f t="shared" si="89"/>
        <v>47025.142857142855</v>
      </c>
      <c r="F1360" s="469">
        <f t="shared" si="84"/>
        <v>1457779.4285714275</v>
      </c>
      <c r="G1360" s="935">
        <f t="shared" si="86"/>
        <v>269168.97465240629</v>
      </c>
      <c r="H1360" s="938">
        <f t="shared" si="87"/>
        <v>269168.97465240629</v>
      </c>
      <c r="I1360" s="509">
        <f t="shared" si="88"/>
        <v>0</v>
      </c>
      <c r="J1360" s="509"/>
      <c r="K1360" s="640"/>
      <c r="L1360" s="514"/>
      <c r="M1360" s="640"/>
      <c r="N1360" s="514"/>
      <c r="O1360" s="514"/>
    </row>
    <row r="1361" spans="3:15">
      <c r="C1361" s="505">
        <f>IF(D1343="","-",+C1360+1)</f>
        <v>2027</v>
      </c>
      <c r="D1361" s="469">
        <f t="shared" si="85"/>
        <v>1457779.4285714275</v>
      </c>
      <c r="E1361" s="511">
        <f t="shared" si="89"/>
        <v>47025.142857142855</v>
      </c>
      <c r="F1361" s="469">
        <f t="shared" si="84"/>
        <v>1410754.2857142845</v>
      </c>
      <c r="G1361" s="935">
        <f t="shared" si="86"/>
        <v>262116.78951604862</v>
      </c>
      <c r="H1361" s="938">
        <f t="shared" si="87"/>
        <v>262116.78951604862</v>
      </c>
      <c r="I1361" s="509">
        <f t="shared" si="88"/>
        <v>0</v>
      </c>
      <c r="J1361" s="509"/>
      <c r="K1361" s="640"/>
      <c r="L1361" s="514"/>
      <c r="M1361" s="640"/>
      <c r="N1361" s="514"/>
      <c r="O1361" s="514"/>
    </row>
    <row r="1362" spans="3:15">
      <c r="C1362" s="505">
        <f>IF(D1343="","-",+C1361+1)</f>
        <v>2028</v>
      </c>
      <c r="D1362" s="469">
        <f t="shared" si="85"/>
        <v>1410754.2857142845</v>
      </c>
      <c r="E1362" s="511">
        <f t="shared" si="89"/>
        <v>47025.142857142855</v>
      </c>
      <c r="F1362" s="469">
        <f t="shared" si="84"/>
        <v>1363729.1428571416</v>
      </c>
      <c r="G1362" s="935">
        <f t="shared" si="86"/>
        <v>255064.60437969107</v>
      </c>
      <c r="H1362" s="938">
        <f t="shared" si="87"/>
        <v>255064.60437969107</v>
      </c>
      <c r="I1362" s="509">
        <f t="shared" si="88"/>
        <v>0</v>
      </c>
      <c r="J1362" s="509"/>
      <c r="K1362" s="640"/>
      <c r="L1362" s="514"/>
      <c r="M1362" s="640"/>
      <c r="N1362" s="514"/>
      <c r="O1362" s="514"/>
    </row>
    <row r="1363" spans="3:15">
      <c r="C1363" s="505">
        <f>IF(D1343="","-",+C1362+1)</f>
        <v>2029</v>
      </c>
      <c r="D1363" s="469">
        <f t="shared" si="85"/>
        <v>1363729.1428571416</v>
      </c>
      <c r="E1363" s="511">
        <f t="shared" si="89"/>
        <v>47025.142857142855</v>
      </c>
      <c r="F1363" s="469">
        <f t="shared" si="84"/>
        <v>1316703.9999999986</v>
      </c>
      <c r="G1363" s="935">
        <f t="shared" si="86"/>
        <v>248012.41924333345</v>
      </c>
      <c r="H1363" s="938">
        <f t="shared" si="87"/>
        <v>248012.41924333345</v>
      </c>
      <c r="I1363" s="509">
        <f t="shared" si="88"/>
        <v>0</v>
      </c>
      <c r="J1363" s="509"/>
      <c r="K1363" s="640"/>
      <c r="L1363" s="514"/>
      <c r="M1363" s="640"/>
      <c r="N1363" s="514"/>
      <c r="O1363" s="514"/>
    </row>
    <row r="1364" spans="3:15">
      <c r="C1364" s="505">
        <f>IF(D1343="","-",+C1363+1)</f>
        <v>2030</v>
      </c>
      <c r="D1364" s="469">
        <f t="shared" si="85"/>
        <v>1316703.9999999986</v>
      </c>
      <c r="E1364" s="511">
        <f t="shared" si="89"/>
        <v>47025.142857142855</v>
      </c>
      <c r="F1364" s="469">
        <f t="shared" si="84"/>
        <v>1269678.8571428556</v>
      </c>
      <c r="G1364" s="935">
        <f t="shared" si="86"/>
        <v>240960.2341069759</v>
      </c>
      <c r="H1364" s="938">
        <f t="shared" si="87"/>
        <v>240960.2341069759</v>
      </c>
      <c r="I1364" s="509">
        <f t="shared" si="88"/>
        <v>0</v>
      </c>
      <c r="J1364" s="509"/>
      <c r="K1364" s="640"/>
      <c r="L1364" s="514"/>
      <c r="M1364" s="640"/>
      <c r="N1364" s="514"/>
      <c r="O1364" s="514"/>
    </row>
    <row r="1365" spans="3:15">
      <c r="C1365" s="505">
        <f>IF(D1343="","-",+C1364+1)</f>
        <v>2031</v>
      </c>
      <c r="D1365" s="469">
        <f t="shared" si="85"/>
        <v>1269678.8571428556</v>
      </c>
      <c r="E1365" s="511">
        <f t="shared" si="89"/>
        <v>47025.142857142855</v>
      </c>
      <c r="F1365" s="469">
        <f t="shared" si="84"/>
        <v>1222653.7142857127</v>
      </c>
      <c r="G1365" s="935">
        <f t="shared" si="86"/>
        <v>233908.04897061829</v>
      </c>
      <c r="H1365" s="938">
        <f t="shared" si="87"/>
        <v>233908.04897061829</v>
      </c>
      <c r="I1365" s="509">
        <f t="shared" si="88"/>
        <v>0</v>
      </c>
      <c r="J1365" s="509"/>
      <c r="K1365" s="640"/>
      <c r="L1365" s="514"/>
      <c r="M1365" s="640"/>
      <c r="N1365" s="514"/>
      <c r="O1365" s="514"/>
    </row>
    <row r="1366" spans="3:15">
      <c r="C1366" s="505">
        <f>IF(D1343="","-",+C1365+1)</f>
        <v>2032</v>
      </c>
      <c r="D1366" s="469">
        <f t="shared" si="85"/>
        <v>1222653.7142857127</v>
      </c>
      <c r="E1366" s="511">
        <f t="shared" si="89"/>
        <v>47025.142857142855</v>
      </c>
      <c r="F1366" s="469">
        <f t="shared" si="84"/>
        <v>1175628.5714285697</v>
      </c>
      <c r="G1366" s="935">
        <f t="shared" si="86"/>
        <v>226855.86383426073</v>
      </c>
      <c r="H1366" s="938">
        <f t="shared" si="87"/>
        <v>226855.86383426073</v>
      </c>
      <c r="I1366" s="509">
        <f t="shared" si="88"/>
        <v>0</v>
      </c>
      <c r="J1366" s="509"/>
      <c r="K1366" s="640"/>
      <c r="L1366" s="514"/>
      <c r="M1366" s="640"/>
      <c r="N1366" s="514"/>
      <c r="O1366" s="514"/>
    </row>
    <row r="1367" spans="3:15">
      <c r="C1367" s="505">
        <f>IF(D1343="","-",+C1366+1)</f>
        <v>2033</v>
      </c>
      <c r="D1367" s="469">
        <f t="shared" si="85"/>
        <v>1175628.5714285697</v>
      </c>
      <c r="E1367" s="511">
        <f t="shared" si="89"/>
        <v>47025.142857142855</v>
      </c>
      <c r="F1367" s="469">
        <f t="shared" si="84"/>
        <v>1128603.4285714268</v>
      </c>
      <c r="G1367" s="935">
        <f t="shared" si="86"/>
        <v>219803.67869790312</v>
      </c>
      <c r="H1367" s="938">
        <f t="shared" si="87"/>
        <v>219803.67869790312</v>
      </c>
      <c r="I1367" s="509">
        <f t="shared" si="88"/>
        <v>0</v>
      </c>
      <c r="J1367" s="509"/>
      <c r="K1367" s="640"/>
      <c r="L1367" s="514"/>
      <c r="M1367" s="640"/>
      <c r="N1367" s="514"/>
      <c r="O1367" s="514"/>
    </row>
    <row r="1368" spans="3:15">
      <c r="C1368" s="505">
        <f>IF(D1343="","-",+C1367+1)</f>
        <v>2034</v>
      </c>
      <c r="D1368" s="469">
        <f t="shared" si="85"/>
        <v>1128603.4285714268</v>
      </c>
      <c r="E1368" s="511">
        <f t="shared" si="89"/>
        <v>47025.142857142855</v>
      </c>
      <c r="F1368" s="469">
        <f t="shared" si="84"/>
        <v>1081578.2857142838</v>
      </c>
      <c r="G1368" s="935">
        <f t="shared" si="86"/>
        <v>212751.49356154556</v>
      </c>
      <c r="H1368" s="938">
        <f t="shared" si="87"/>
        <v>212751.49356154556</v>
      </c>
      <c r="I1368" s="509">
        <f t="shared" si="88"/>
        <v>0</v>
      </c>
      <c r="J1368" s="509"/>
      <c r="K1368" s="640"/>
      <c r="L1368" s="514"/>
      <c r="M1368" s="640"/>
      <c r="N1368" s="514"/>
      <c r="O1368" s="514"/>
    </row>
    <row r="1369" spans="3:15">
      <c r="C1369" s="505">
        <f>IF(D1343="","-",+C1368+1)</f>
        <v>2035</v>
      </c>
      <c r="D1369" s="469">
        <f t="shared" si="85"/>
        <v>1081578.2857142838</v>
      </c>
      <c r="E1369" s="511">
        <f t="shared" si="89"/>
        <v>47025.142857142855</v>
      </c>
      <c r="F1369" s="469">
        <f t="shared" si="84"/>
        <v>1034553.142857141</v>
      </c>
      <c r="G1369" s="935">
        <f t="shared" si="86"/>
        <v>205699.30842518795</v>
      </c>
      <c r="H1369" s="938">
        <f t="shared" si="87"/>
        <v>205699.30842518795</v>
      </c>
      <c r="I1369" s="509">
        <f t="shared" si="88"/>
        <v>0</v>
      </c>
      <c r="J1369" s="509"/>
      <c r="K1369" s="640"/>
      <c r="L1369" s="514"/>
      <c r="M1369" s="640"/>
      <c r="N1369" s="514"/>
      <c r="O1369" s="514"/>
    </row>
    <row r="1370" spans="3:15">
      <c r="C1370" s="505">
        <f>IF(D1343="","-",+C1369+1)</f>
        <v>2036</v>
      </c>
      <c r="D1370" s="469">
        <f t="shared" si="85"/>
        <v>1034553.142857141</v>
      </c>
      <c r="E1370" s="511">
        <f t="shared" si="89"/>
        <v>47025.142857142855</v>
      </c>
      <c r="F1370" s="469">
        <f t="shared" si="84"/>
        <v>987527.99999999814</v>
      </c>
      <c r="G1370" s="935">
        <f t="shared" si="86"/>
        <v>198647.12328883039</v>
      </c>
      <c r="H1370" s="938">
        <f t="shared" si="87"/>
        <v>198647.12328883039</v>
      </c>
      <c r="I1370" s="509">
        <f t="shared" si="88"/>
        <v>0</v>
      </c>
      <c r="J1370" s="509"/>
      <c r="K1370" s="640"/>
      <c r="L1370" s="514"/>
      <c r="M1370" s="640"/>
      <c r="N1370" s="514"/>
      <c r="O1370" s="514"/>
    </row>
    <row r="1371" spans="3:15">
      <c r="C1371" s="505">
        <f>IF(D1343="","-",+C1370+1)</f>
        <v>2037</v>
      </c>
      <c r="D1371" s="469">
        <f t="shared" si="85"/>
        <v>987527.99999999814</v>
      </c>
      <c r="E1371" s="511">
        <f t="shared" si="89"/>
        <v>47025.142857142855</v>
      </c>
      <c r="F1371" s="469">
        <f t="shared" si="84"/>
        <v>940502.8571428553</v>
      </c>
      <c r="G1371" s="935">
        <f t="shared" si="86"/>
        <v>191594.93815247284</v>
      </c>
      <c r="H1371" s="938">
        <f t="shared" si="87"/>
        <v>191594.93815247284</v>
      </c>
      <c r="I1371" s="509">
        <f t="shared" si="88"/>
        <v>0</v>
      </c>
      <c r="J1371" s="509"/>
      <c r="K1371" s="640"/>
      <c r="L1371" s="514"/>
      <c r="M1371" s="640"/>
      <c r="N1371" s="514"/>
      <c r="O1371" s="514"/>
    </row>
    <row r="1372" spans="3:15">
      <c r="C1372" s="505">
        <f>IF(D1343="","-",+C1371+1)</f>
        <v>2038</v>
      </c>
      <c r="D1372" s="469">
        <f t="shared" si="85"/>
        <v>940502.8571428553</v>
      </c>
      <c r="E1372" s="511">
        <f t="shared" si="89"/>
        <v>47025.142857142855</v>
      </c>
      <c r="F1372" s="469">
        <f t="shared" si="84"/>
        <v>893477.71428571246</v>
      </c>
      <c r="G1372" s="935">
        <f t="shared" si="86"/>
        <v>184542.75301611522</v>
      </c>
      <c r="H1372" s="938">
        <f t="shared" si="87"/>
        <v>184542.75301611522</v>
      </c>
      <c r="I1372" s="509">
        <f t="shared" si="88"/>
        <v>0</v>
      </c>
      <c r="J1372" s="509"/>
      <c r="K1372" s="640"/>
      <c r="L1372" s="514"/>
      <c r="M1372" s="640"/>
      <c r="N1372" s="514"/>
      <c r="O1372" s="514"/>
    </row>
    <row r="1373" spans="3:15">
      <c r="C1373" s="505">
        <f>IF(D1343="","-",+C1372+1)</f>
        <v>2039</v>
      </c>
      <c r="D1373" s="469">
        <f t="shared" si="85"/>
        <v>893477.71428571246</v>
      </c>
      <c r="E1373" s="511">
        <f t="shared" si="89"/>
        <v>47025.142857142855</v>
      </c>
      <c r="F1373" s="469">
        <f t="shared" si="84"/>
        <v>846452.57142856962</v>
      </c>
      <c r="G1373" s="935">
        <f t="shared" si="86"/>
        <v>177490.5678797577</v>
      </c>
      <c r="H1373" s="938">
        <f t="shared" si="87"/>
        <v>177490.5678797577</v>
      </c>
      <c r="I1373" s="509">
        <f t="shared" si="88"/>
        <v>0</v>
      </c>
      <c r="J1373" s="509"/>
      <c r="K1373" s="640"/>
      <c r="L1373" s="514"/>
      <c r="M1373" s="640"/>
      <c r="N1373" s="514"/>
      <c r="O1373" s="514"/>
    </row>
    <row r="1374" spans="3:15">
      <c r="C1374" s="505">
        <f>IF(D1343="","-",+C1373+1)</f>
        <v>2040</v>
      </c>
      <c r="D1374" s="469">
        <f t="shared" si="85"/>
        <v>846452.57142856962</v>
      </c>
      <c r="E1374" s="511">
        <f t="shared" si="89"/>
        <v>47025.142857142855</v>
      </c>
      <c r="F1374" s="469">
        <f t="shared" si="84"/>
        <v>799427.42857142678</v>
      </c>
      <c r="G1374" s="935">
        <f t="shared" si="86"/>
        <v>170438.38274340011</v>
      </c>
      <c r="H1374" s="938">
        <f t="shared" si="87"/>
        <v>170438.38274340011</v>
      </c>
      <c r="I1374" s="509">
        <f t="shared" si="88"/>
        <v>0</v>
      </c>
      <c r="J1374" s="509"/>
      <c r="K1374" s="640"/>
      <c r="L1374" s="514"/>
      <c r="M1374" s="640"/>
      <c r="N1374" s="514"/>
      <c r="O1374" s="514"/>
    </row>
    <row r="1375" spans="3:15">
      <c r="C1375" s="505">
        <f>IF(D1343="","-",+C1374+1)</f>
        <v>2041</v>
      </c>
      <c r="D1375" s="469">
        <f t="shared" si="85"/>
        <v>799427.42857142678</v>
      </c>
      <c r="E1375" s="511">
        <f t="shared" si="89"/>
        <v>47025.142857142855</v>
      </c>
      <c r="F1375" s="469">
        <f t="shared" si="84"/>
        <v>752402.28571428393</v>
      </c>
      <c r="G1375" s="935">
        <f t="shared" si="86"/>
        <v>163386.19760704256</v>
      </c>
      <c r="H1375" s="938">
        <f t="shared" si="87"/>
        <v>163386.19760704256</v>
      </c>
      <c r="I1375" s="509">
        <f t="shared" si="88"/>
        <v>0</v>
      </c>
      <c r="J1375" s="509"/>
      <c r="K1375" s="640"/>
      <c r="L1375" s="514"/>
      <c r="M1375" s="640"/>
      <c r="N1375" s="514"/>
      <c r="O1375" s="514"/>
    </row>
    <row r="1376" spans="3:15">
      <c r="C1376" s="505">
        <f>IF(D1343="","-",+C1375+1)</f>
        <v>2042</v>
      </c>
      <c r="D1376" s="469">
        <f t="shared" si="85"/>
        <v>752402.28571428393</v>
      </c>
      <c r="E1376" s="511">
        <f t="shared" si="89"/>
        <v>47025.142857142855</v>
      </c>
      <c r="F1376" s="469">
        <f t="shared" si="84"/>
        <v>705377.14285714109</v>
      </c>
      <c r="G1376" s="935">
        <f t="shared" si="86"/>
        <v>156334.01247068495</v>
      </c>
      <c r="H1376" s="938">
        <f t="shared" si="87"/>
        <v>156334.01247068495</v>
      </c>
      <c r="I1376" s="509">
        <f t="shared" si="88"/>
        <v>0</v>
      </c>
      <c r="J1376" s="509"/>
      <c r="K1376" s="640"/>
      <c r="L1376" s="514"/>
      <c r="M1376" s="640"/>
      <c r="N1376" s="514"/>
      <c r="O1376" s="514"/>
    </row>
    <row r="1377" spans="3:15">
      <c r="C1377" s="505">
        <f>IF(D1343="","-",+C1376+1)</f>
        <v>2043</v>
      </c>
      <c r="D1377" s="469">
        <f t="shared" si="85"/>
        <v>705377.14285714109</v>
      </c>
      <c r="E1377" s="511">
        <f t="shared" si="89"/>
        <v>47025.142857142855</v>
      </c>
      <c r="F1377" s="469">
        <f t="shared" si="84"/>
        <v>658351.99999999825</v>
      </c>
      <c r="G1377" s="936">
        <f t="shared" si="86"/>
        <v>149281.82733432739</v>
      </c>
      <c r="H1377" s="938">
        <f t="shared" si="87"/>
        <v>149281.82733432739</v>
      </c>
      <c r="I1377" s="509">
        <f t="shared" si="88"/>
        <v>0</v>
      </c>
      <c r="J1377" s="509"/>
      <c r="K1377" s="640"/>
      <c r="L1377" s="514"/>
      <c r="M1377" s="640"/>
      <c r="N1377" s="514"/>
      <c r="O1377" s="514"/>
    </row>
    <row r="1378" spans="3:15">
      <c r="C1378" s="505">
        <f>IF(D1343="","-",+C1377+1)</f>
        <v>2044</v>
      </c>
      <c r="D1378" s="469">
        <f t="shared" si="85"/>
        <v>658351.99999999825</v>
      </c>
      <c r="E1378" s="511">
        <f t="shared" si="89"/>
        <v>47025.142857142855</v>
      </c>
      <c r="F1378" s="469">
        <f t="shared" si="84"/>
        <v>611326.85714285541</v>
      </c>
      <c r="G1378" s="935">
        <f t="shared" si="86"/>
        <v>142229.64219796984</v>
      </c>
      <c r="H1378" s="938">
        <f t="shared" si="87"/>
        <v>142229.64219796984</v>
      </c>
      <c r="I1378" s="509">
        <f t="shared" si="88"/>
        <v>0</v>
      </c>
      <c r="J1378" s="509"/>
      <c r="K1378" s="640"/>
      <c r="L1378" s="514"/>
      <c r="M1378" s="640"/>
      <c r="N1378" s="514"/>
      <c r="O1378" s="514"/>
    </row>
    <row r="1379" spans="3:15">
      <c r="C1379" s="505">
        <f>IF(D1343="","-",+C1378+1)</f>
        <v>2045</v>
      </c>
      <c r="D1379" s="469">
        <f t="shared" si="85"/>
        <v>611326.85714285541</v>
      </c>
      <c r="E1379" s="511">
        <f t="shared" si="89"/>
        <v>47025.142857142855</v>
      </c>
      <c r="F1379" s="469">
        <f t="shared" si="84"/>
        <v>564301.71428571257</v>
      </c>
      <c r="G1379" s="935">
        <f t="shared" si="86"/>
        <v>135177.45706161228</v>
      </c>
      <c r="H1379" s="938">
        <f t="shared" si="87"/>
        <v>135177.45706161228</v>
      </c>
      <c r="I1379" s="509">
        <f t="shared" si="88"/>
        <v>0</v>
      </c>
      <c r="J1379" s="509"/>
      <c r="K1379" s="640"/>
      <c r="L1379" s="514"/>
      <c r="M1379" s="640"/>
      <c r="N1379" s="514"/>
      <c r="O1379" s="514"/>
    </row>
    <row r="1380" spans="3:15">
      <c r="C1380" s="505">
        <f>IF(D1343="","-",+C1379+1)</f>
        <v>2046</v>
      </c>
      <c r="D1380" s="469">
        <f t="shared" si="85"/>
        <v>564301.71428571257</v>
      </c>
      <c r="E1380" s="511">
        <f t="shared" si="89"/>
        <v>47025.142857142855</v>
      </c>
      <c r="F1380" s="469">
        <f t="shared" si="84"/>
        <v>517276.57142856973</v>
      </c>
      <c r="G1380" s="935">
        <f t="shared" si="86"/>
        <v>128125.27192525468</v>
      </c>
      <c r="H1380" s="938">
        <f t="shared" si="87"/>
        <v>128125.27192525468</v>
      </c>
      <c r="I1380" s="509">
        <f t="shared" si="88"/>
        <v>0</v>
      </c>
      <c r="J1380" s="509"/>
      <c r="K1380" s="640"/>
      <c r="L1380" s="514"/>
      <c r="M1380" s="640"/>
      <c r="N1380" s="514"/>
      <c r="O1380" s="514"/>
    </row>
    <row r="1381" spans="3:15">
      <c r="C1381" s="505">
        <f>IF(D1343="","-",+C1380+1)</f>
        <v>2047</v>
      </c>
      <c r="D1381" s="469">
        <f t="shared" si="85"/>
        <v>517276.57142856973</v>
      </c>
      <c r="E1381" s="511">
        <f t="shared" si="89"/>
        <v>47025.142857142855</v>
      </c>
      <c r="F1381" s="469">
        <f t="shared" si="84"/>
        <v>470251.42857142689</v>
      </c>
      <c r="G1381" s="935">
        <f t="shared" si="86"/>
        <v>121073.08678889713</v>
      </c>
      <c r="H1381" s="938">
        <f t="shared" si="87"/>
        <v>121073.08678889713</v>
      </c>
      <c r="I1381" s="509">
        <f t="shared" si="88"/>
        <v>0</v>
      </c>
      <c r="J1381" s="509"/>
      <c r="K1381" s="640"/>
      <c r="L1381" s="514"/>
      <c r="M1381" s="640"/>
      <c r="N1381" s="514"/>
      <c r="O1381" s="514"/>
    </row>
    <row r="1382" spans="3:15">
      <c r="C1382" s="505">
        <f>IF(D1343="","-",+C1381+1)</f>
        <v>2048</v>
      </c>
      <c r="D1382" s="469">
        <f t="shared" si="85"/>
        <v>470251.42857142689</v>
      </c>
      <c r="E1382" s="511">
        <f t="shared" si="89"/>
        <v>47025.142857142855</v>
      </c>
      <c r="F1382" s="469">
        <f t="shared" si="84"/>
        <v>423226.28571428405</v>
      </c>
      <c r="G1382" s="935">
        <f t="shared" si="86"/>
        <v>114020.90165253954</v>
      </c>
      <c r="H1382" s="938">
        <f t="shared" si="87"/>
        <v>114020.90165253954</v>
      </c>
      <c r="I1382" s="509">
        <f t="shared" si="88"/>
        <v>0</v>
      </c>
      <c r="J1382" s="509"/>
      <c r="K1382" s="640"/>
      <c r="L1382" s="514"/>
      <c r="M1382" s="640"/>
      <c r="N1382" s="514"/>
      <c r="O1382" s="514"/>
    </row>
    <row r="1383" spans="3:15">
      <c r="C1383" s="505">
        <f>IF(D1343="","-",+C1382+1)</f>
        <v>2049</v>
      </c>
      <c r="D1383" s="469">
        <f t="shared" si="85"/>
        <v>423226.28571428405</v>
      </c>
      <c r="E1383" s="511">
        <f t="shared" si="89"/>
        <v>47025.142857142855</v>
      </c>
      <c r="F1383" s="469">
        <f t="shared" si="84"/>
        <v>376201.14285714121</v>
      </c>
      <c r="G1383" s="935">
        <f t="shared" si="86"/>
        <v>106968.71651618197</v>
      </c>
      <c r="H1383" s="938">
        <f t="shared" si="87"/>
        <v>106968.71651618197</v>
      </c>
      <c r="I1383" s="509">
        <f t="shared" si="88"/>
        <v>0</v>
      </c>
      <c r="J1383" s="509"/>
      <c r="K1383" s="640"/>
      <c r="L1383" s="514"/>
      <c r="M1383" s="640"/>
      <c r="N1383" s="514"/>
      <c r="O1383" s="514"/>
    </row>
    <row r="1384" spans="3:15">
      <c r="C1384" s="505">
        <f>IF(D1343="","-",+C1383+1)</f>
        <v>2050</v>
      </c>
      <c r="D1384" s="469">
        <f t="shared" si="85"/>
        <v>376201.14285714121</v>
      </c>
      <c r="E1384" s="511">
        <f t="shared" si="89"/>
        <v>47025.142857142855</v>
      </c>
      <c r="F1384" s="469">
        <f t="shared" si="84"/>
        <v>329175.99999999837</v>
      </c>
      <c r="G1384" s="935">
        <f t="shared" si="86"/>
        <v>99916.531379824417</v>
      </c>
      <c r="H1384" s="938">
        <f t="shared" si="87"/>
        <v>99916.531379824417</v>
      </c>
      <c r="I1384" s="509">
        <f t="shared" si="88"/>
        <v>0</v>
      </c>
      <c r="J1384" s="509"/>
      <c r="K1384" s="640"/>
      <c r="L1384" s="514"/>
      <c r="M1384" s="640"/>
      <c r="N1384" s="514"/>
      <c r="O1384" s="514"/>
    </row>
    <row r="1385" spans="3:15">
      <c r="C1385" s="505">
        <f>IF(D1343="","-",+C1384+1)</f>
        <v>2051</v>
      </c>
      <c r="D1385" s="469">
        <f t="shared" si="85"/>
        <v>329175.99999999837</v>
      </c>
      <c r="E1385" s="511">
        <f t="shared" si="89"/>
        <v>47025.142857142855</v>
      </c>
      <c r="F1385" s="469">
        <f t="shared" si="84"/>
        <v>282150.85714285553</v>
      </c>
      <c r="G1385" s="935">
        <f t="shared" si="86"/>
        <v>92864.346243466833</v>
      </c>
      <c r="H1385" s="938">
        <f t="shared" si="87"/>
        <v>92864.346243466833</v>
      </c>
      <c r="I1385" s="509">
        <f t="shared" si="88"/>
        <v>0</v>
      </c>
      <c r="J1385" s="509"/>
      <c r="K1385" s="640"/>
      <c r="L1385" s="514"/>
      <c r="M1385" s="640"/>
      <c r="N1385" s="514"/>
      <c r="O1385" s="514"/>
    </row>
    <row r="1386" spans="3:15">
      <c r="C1386" s="505">
        <f>IF(D1343="","-",+C1385+1)</f>
        <v>2052</v>
      </c>
      <c r="D1386" s="469">
        <f t="shared" si="85"/>
        <v>282150.85714285553</v>
      </c>
      <c r="E1386" s="511">
        <f t="shared" si="89"/>
        <v>47025.142857142855</v>
      </c>
      <c r="F1386" s="469">
        <f t="shared" si="84"/>
        <v>235125.71428571269</v>
      </c>
      <c r="G1386" s="935">
        <f t="shared" si="86"/>
        <v>85812.161107109263</v>
      </c>
      <c r="H1386" s="938">
        <f t="shared" si="87"/>
        <v>85812.161107109263</v>
      </c>
      <c r="I1386" s="509">
        <f t="shared" si="88"/>
        <v>0</v>
      </c>
      <c r="J1386" s="509"/>
      <c r="K1386" s="640"/>
      <c r="L1386" s="514"/>
      <c r="M1386" s="640"/>
      <c r="N1386" s="514"/>
      <c r="O1386" s="514"/>
    </row>
    <row r="1387" spans="3:15">
      <c r="C1387" s="505">
        <f>IF(D1343="","-",+C1386+1)</f>
        <v>2053</v>
      </c>
      <c r="D1387" s="469">
        <f t="shared" si="85"/>
        <v>235125.71428571269</v>
      </c>
      <c r="E1387" s="511">
        <f t="shared" si="89"/>
        <v>47025.142857142855</v>
      </c>
      <c r="F1387" s="469">
        <f t="shared" si="84"/>
        <v>188100.57142856985</v>
      </c>
      <c r="G1387" s="935">
        <f t="shared" si="86"/>
        <v>78759.975970751693</v>
      </c>
      <c r="H1387" s="938">
        <f t="shared" si="87"/>
        <v>78759.975970751693</v>
      </c>
      <c r="I1387" s="509">
        <f t="shared" si="88"/>
        <v>0</v>
      </c>
      <c r="J1387" s="509"/>
      <c r="K1387" s="640"/>
      <c r="L1387" s="514"/>
      <c r="M1387" s="640"/>
      <c r="N1387" s="514"/>
      <c r="O1387" s="514"/>
    </row>
    <row r="1388" spans="3:15">
      <c r="C1388" s="505">
        <f>IF(D1343="","-",+C1387+1)</f>
        <v>2054</v>
      </c>
      <c r="D1388" s="469">
        <f t="shared" si="85"/>
        <v>188100.57142856985</v>
      </c>
      <c r="E1388" s="511">
        <f t="shared" si="89"/>
        <v>47025.142857142855</v>
      </c>
      <c r="F1388" s="469">
        <f t="shared" si="84"/>
        <v>141075.42857142701</v>
      </c>
      <c r="G1388" s="935">
        <f t="shared" si="86"/>
        <v>71707.790834394124</v>
      </c>
      <c r="H1388" s="938">
        <f t="shared" si="87"/>
        <v>71707.790834394124</v>
      </c>
      <c r="I1388" s="509">
        <f t="shared" si="88"/>
        <v>0</v>
      </c>
      <c r="J1388" s="509"/>
      <c r="K1388" s="640"/>
      <c r="L1388" s="514"/>
      <c r="M1388" s="640"/>
      <c r="N1388" s="514"/>
      <c r="O1388" s="514"/>
    </row>
    <row r="1389" spans="3:15">
      <c r="C1389" s="505">
        <f>IF(D1343="","-",+C1388+1)</f>
        <v>2055</v>
      </c>
      <c r="D1389" s="469">
        <f t="shared" si="85"/>
        <v>141075.42857142701</v>
      </c>
      <c r="E1389" s="511">
        <f t="shared" si="89"/>
        <v>47025.142857142855</v>
      </c>
      <c r="F1389" s="469">
        <f t="shared" si="84"/>
        <v>94050.285714284153</v>
      </c>
      <c r="G1389" s="935">
        <f t="shared" si="86"/>
        <v>64655.605698036554</v>
      </c>
      <c r="H1389" s="938">
        <f t="shared" si="87"/>
        <v>64655.605698036554</v>
      </c>
      <c r="I1389" s="509">
        <f t="shared" si="88"/>
        <v>0</v>
      </c>
      <c r="J1389" s="509"/>
      <c r="K1389" s="640"/>
      <c r="L1389" s="514"/>
      <c r="M1389" s="640"/>
      <c r="N1389" s="514"/>
      <c r="O1389" s="514"/>
    </row>
    <row r="1390" spans="3:15">
      <c r="C1390" s="505">
        <f>IF(D1343="","-",+C1389+1)</f>
        <v>2056</v>
      </c>
      <c r="D1390" s="469">
        <f t="shared" si="85"/>
        <v>94050.285714284153</v>
      </c>
      <c r="E1390" s="511">
        <f t="shared" si="89"/>
        <v>47025.142857142855</v>
      </c>
      <c r="F1390" s="469">
        <f t="shared" si="84"/>
        <v>47025.142857141298</v>
      </c>
      <c r="G1390" s="935">
        <f t="shared" si="86"/>
        <v>57603.420561678984</v>
      </c>
      <c r="H1390" s="938">
        <f t="shared" si="87"/>
        <v>57603.420561678984</v>
      </c>
      <c r="I1390" s="509">
        <f t="shared" si="88"/>
        <v>0</v>
      </c>
      <c r="J1390" s="509"/>
      <c r="K1390" s="640"/>
      <c r="L1390" s="514"/>
      <c r="M1390" s="640"/>
      <c r="N1390" s="514"/>
      <c r="O1390" s="514"/>
    </row>
    <row r="1391" spans="3:15">
      <c r="C1391" s="505">
        <f>IF(D1343="","-",+C1390+1)</f>
        <v>2057</v>
      </c>
      <c r="D1391" s="469">
        <f t="shared" si="85"/>
        <v>47025.142857141298</v>
      </c>
      <c r="E1391" s="511">
        <f t="shared" si="89"/>
        <v>47025.142857141298</v>
      </c>
      <c r="F1391" s="469">
        <f t="shared" si="84"/>
        <v>0</v>
      </c>
      <c r="G1391" s="935">
        <f t="shared" si="86"/>
        <v>50551.235425319966</v>
      </c>
      <c r="H1391" s="938">
        <f t="shared" si="87"/>
        <v>50551.235425319966</v>
      </c>
      <c r="I1391" s="509">
        <f t="shared" si="88"/>
        <v>0</v>
      </c>
      <c r="J1391" s="509"/>
      <c r="K1391" s="640"/>
      <c r="L1391" s="514"/>
      <c r="M1391" s="640"/>
      <c r="N1391" s="514"/>
      <c r="O1391" s="514"/>
    </row>
    <row r="1392" spans="3:15">
      <c r="C1392" s="505">
        <f>IF(D1343="","-",+C1391+1)</f>
        <v>2058</v>
      </c>
      <c r="D1392" s="469">
        <f t="shared" si="85"/>
        <v>0</v>
      </c>
      <c r="E1392" s="511">
        <f t="shared" si="89"/>
        <v>0</v>
      </c>
      <c r="F1392" s="469">
        <f t="shared" si="84"/>
        <v>0</v>
      </c>
      <c r="G1392" s="935">
        <f t="shared" si="86"/>
        <v>0</v>
      </c>
      <c r="H1392" s="938">
        <f t="shared" si="87"/>
        <v>0</v>
      </c>
      <c r="I1392" s="509">
        <f t="shared" si="88"/>
        <v>0</v>
      </c>
      <c r="J1392" s="509"/>
      <c r="K1392" s="640"/>
      <c r="L1392" s="514"/>
      <c r="M1392" s="640"/>
      <c r="N1392" s="514"/>
      <c r="O1392" s="514"/>
    </row>
    <row r="1393" spans="3:15">
      <c r="C1393" s="505">
        <f>IF(D1343="","-",+C1392+1)</f>
        <v>2059</v>
      </c>
      <c r="D1393" s="469">
        <f t="shared" si="85"/>
        <v>0</v>
      </c>
      <c r="E1393" s="511">
        <f t="shared" si="89"/>
        <v>0</v>
      </c>
      <c r="F1393" s="469">
        <f t="shared" si="84"/>
        <v>0</v>
      </c>
      <c r="G1393" s="935">
        <f t="shared" si="86"/>
        <v>0</v>
      </c>
      <c r="H1393" s="938">
        <f t="shared" si="87"/>
        <v>0</v>
      </c>
      <c r="I1393" s="509">
        <f t="shared" si="88"/>
        <v>0</v>
      </c>
      <c r="J1393" s="509"/>
      <c r="K1393" s="640"/>
      <c r="L1393" s="514"/>
      <c r="M1393" s="640"/>
      <c r="N1393" s="514"/>
      <c r="O1393" s="514"/>
    </row>
    <row r="1394" spans="3:15">
      <c r="C1394" s="505">
        <f>IF(D1343="","-",+C1393+1)</f>
        <v>2060</v>
      </c>
      <c r="D1394" s="469">
        <f t="shared" si="85"/>
        <v>0</v>
      </c>
      <c r="E1394" s="511">
        <f t="shared" si="89"/>
        <v>0</v>
      </c>
      <c r="F1394" s="469">
        <f t="shared" si="84"/>
        <v>0</v>
      </c>
      <c r="G1394" s="935">
        <f t="shared" si="86"/>
        <v>0</v>
      </c>
      <c r="H1394" s="938">
        <f t="shared" si="87"/>
        <v>0</v>
      </c>
      <c r="I1394" s="509">
        <f t="shared" si="88"/>
        <v>0</v>
      </c>
      <c r="J1394" s="509"/>
      <c r="K1394" s="640"/>
      <c r="L1394" s="514"/>
      <c r="M1394" s="640"/>
      <c r="N1394" s="514"/>
      <c r="O1394" s="514"/>
    </row>
    <row r="1395" spans="3:15">
      <c r="C1395" s="505">
        <f>IF(D1343="","-",+C1394+1)</f>
        <v>2061</v>
      </c>
      <c r="D1395" s="469">
        <f t="shared" si="85"/>
        <v>0</v>
      </c>
      <c r="E1395" s="511">
        <f t="shared" si="89"/>
        <v>0</v>
      </c>
      <c r="F1395" s="469">
        <f t="shared" si="84"/>
        <v>0</v>
      </c>
      <c r="G1395" s="935">
        <f t="shared" si="86"/>
        <v>0</v>
      </c>
      <c r="H1395" s="938">
        <f t="shared" si="87"/>
        <v>0</v>
      </c>
      <c r="I1395" s="509">
        <f t="shared" si="88"/>
        <v>0</v>
      </c>
      <c r="J1395" s="509"/>
      <c r="K1395" s="640"/>
      <c r="L1395" s="514"/>
      <c r="M1395" s="640"/>
      <c r="N1395" s="514"/>
      <c r="O1395" s="514"/>
    </row>
    <row r="1396" spans="3:15">
      <c r="C1396" s="505">
        <f>IF(D1343="","-",+C1395+1)</f>
        <v>2062</v>
      </c>
      <c r="D1396" s="469">
        <f t="shared" si="85"/>
        <v>0</v>
      </c>
      <c r="E1396" s="511">
        <f t="shared" si="89"/>
        <v>0</v>
      </c>
      <c r="F1396" s="469">
        <f t="shared" si="84"/>
        <v>0</v>
      </c>
      <c r="G1396" s="935">
        <f t="shared" si="86"/>
        <v>0</v>
      </c>
      <c r="H1396" s="938">
        <f t="shared" si="87"/>
        <v>0</v>
      </c>
      <c r="I1396" s="509">
        <f t="shared" si="88"/>
        <v>0</v>
      </c>
      <c r="J1396" s="509"/>
      <c r="K1396" s="640"/>
      <c r="L1396" s="514"/>
      <c r="M1396" s="640"/>
      <c r="N1396" s="514"/>
      <c r="O1396" s="514"/>
    </row>
    <row r="1397" spans="3:15">
      <c r="C1397" s="505">
        <f>IF(D1343="","-",+C1396+1)</f>
        <v>2063</v>
      </c>
      <c r="D1397" s="469">
        <f t="shared" si="85"/>
        <v>0</v>
      </c>
      <c r="E1397" s="511">
        <f t="shared" si="89"/>
        <v>0</v>
      </c>
      <c r="F1397" s="469">
        <f t="shared" si="84"/>
        <v>0</v>
      </c>
      <c r="G1397" s="935">
        <f t="shared" si="86"/>
        <v>0</v>
      </c>
      <c r="H1397" s="938">
        <f t="shared" si="87"/>
        <v>0</v>
      </c>
      <c r="I1397" s="509">
        <f t="shared" si="88"/>
        <v>0</v>
      </c>
      <c r="J1397" s="509"/>
      <c r="K1397" s="640"/>
      <c r="L1397" s="514"/>
      <c r="M1397" s="640"/>
      <c r="N1397" s="514"/>
      <c r="O1397" s="514"/>
    </row>
    <row r="1398" spans="3:15">
      <c r="C1398" s="505">
        <f>IF(D1343="","-",+C1397+1)</f>
        <v>2064</v>
      </c>
      <c r="D1398" s="469">
        <f t="shared" si="85"/>
        <v>0</v>
      </c>
      <c r="E1398" s="511">
        <f t="shared" si="89"/>
        <v>0</v>
      </c>
      <c r="F1398" s="469">
        <f t="shared" si="84"/>
        <v>0</v>
      </c>
      <c r="G1398" s="935">
        <f t="shared" si="86"/>
        <v>0</v>
      </c>
      <c r="H1398" s="938">
        <f t="shared" si="87"/>
        <v>0</v>
      </c>
      <c r="I1398" s="509">
        <f t="shared" si="88"/>
        <v>0</v>
      </c>
      <c r="J1398" s="509"/>
      <c r="K1398" s="640"/>
      <c r="L1398" s="514"/>
      <c r="M1398" s="640"/>
      <c r="N1398" s="514"/>
      <c r="O1398" s="514"/>
    </row>
    <row r="1399" spans="3:15">
      <c r="C1399" s="505">
        <f>IF(D1343="","-",+C1398+1)</f>
        <v>2065</v>
      </c>
      <c r="D1399" s="469">
        <f t="shared" si="85"/>
        <v>0</v>
      </c>
      <c r="E1399" s="511">
        <f t="shared" si="89"/>
        <v>0</v>
      </c>
      <c r="F1399" s="469">
        <f t="shared" si="84"/>
        <v>0</v>
      </c>
      <c r="G1399" s="935">
        <f t="shared" si="86"/>
        <v>0</v>
      </c>
      <c r="H1399" s="938">
        <f t="shared" si="87"/>
        <v>0</v>
      </c>
      <c r="I1399" s="509">
        <f t="shared" si="88"/>
        <v>0</v>
      </c>
      <c r="J1399" s="509"/>
      <c r="K1399" s="640"/>
      <c r="L1399" s="514"/>
      <c r="M1399" s="640"/>
      <c r="N1399" s="514"/>
      <c r="O1399" s="514"/>
    </row>
    <row r="1400" spans="3:15">
      <c r="C1400" s="505">
        <f>IF(D1343="","-",+C1399+1)</f>
        <v>2066</v>
      </c>
      <c r="D1400" s="469">
        <f t="shared" si="85"/>
        <v>0</v>
      </c>
      <c r="E1400" s="511">
        <f t="shared" si="89"/>
        <v>0</v>
      </c>
      <c r="F1400" s="469">
        <f t="shared" si="84"/>
        <v>0</v>
      </c>
      <c r="G1400" s="935">
        <f t="shared" si="86"/>
        <v>0</v>
      </c>
      <c r="H1400" s="938">
        <f t="shared" si="87"/>
        <v>0</v>
      </c>
      <c r="I1400" s="509">
        <f t="shared" si="88"/>
        <v>0</v>
      </c>
      <c r="J1400" s="509"/>
      <c r="K1400" s="640"/>
      <c r="L1400" s="514"/>
      <c r="M1400" s="640"/>
      <c r="N1400" s="514"/>
      <c r="O1400" s="514"/>
    </row>
    <row r="1401" spans="3:15">
      <c r="C1401" s="505">
        <f>IF(D1343="","-",+C1400+1)</f>
        <v>2067</v>
      </c>
      <c r="D1401" s="469">
        <f t="shared" si="85"/>
        <v>0</v>
      </c>
      <c r="E1401" s="511">
        <f t="shared" si="89"/>
        <v>0</v>
      </c>
      <c r="F1401" s="469">
        <f t="shared" si="84"/>
        <v>0</v>
      </c>
      <c r="G1401" s="935">
        <f t="shared" si="86"/>
        <v>0</v>
      </c>
      <c r="H1401" s="938">
        <f t="shared" si="87"/>
        <v>0</v>
      </c>
      <c r="I1401" s="509">
        <f t="shared" si="88"/>
        <v>0</v>
      </c>
      <c r="J1401" s="509"/>
      <c r="K1401" s="640"/>
      <c r="L1401" s="514"/>
      <c r="M1401" s="640"/>
      <c r="N1401" s="514"/>
      <c r="O1401" s="514"/>
    </row>
    <row r="1402" spans="3:15">
      <c r="C1402" s="505">
        <f>IF(D1343="","-",+C1401+1)</f>
        <v>2068</v>
      </c>
      <c r="D1402" s="469">
        <f t="shared" si="85"/>
        <v>0</v>
      </c>
      <c r="E1402" s="511">
        <f t="shared" si="89"/>
        <v>0</v>
      </c>
      <c r="F1402" s="469">
        <f t="shared" si="84"/>
        <v>0</v>
      </c>
      <c r="G1402" s="935">
        <f t="shared" si="86"/>
        <v>0</v>
      </c>
      <c r="H1402" s="938">
        <f t="shared" si="87"/>
        <v>0</v>
      </c>
      <c r="I1402" s="509">
        <f t="shared" si="88"/>
        <v>0</v>
      </c>
      <c r="J1402" s="509"/>
      <c r="K1402" s="640"/>
      <c r="L1402" s="514"/>
      <c r="M1402" s="640"/>
      <c r="N1402" s="514"/>
      <c r="O1402" s="514"/>
    </row>
    <row r="1403" spans="3:15">
      <c r="C1403" s="505">
        <f>IF(D1343="","-",+C1402+1)</f>
        <v>2069</v>
      </c>
      <c r="D1403" s="469">
        <f t="shared" si="85"/>
        <v>0</v>
      </c>
      <c r="E1403" s="511">
        <f t="shared" si="89"/>
        <v>0</v>
      </c>
      <c r="F1403" s="469">
        <f t="shared" si="84"/>
        <v>0</v>
      </c>
      <c r="G1403" s="935">
        <f t="shared" si="86"/>
        <v>0</v>
      </c>
      <c r="H1403" s="938">
        <f t="shared" si="87"/>
        <v>0</v>
      </c>
      <c r="I1403" s="509">
        <f t="shared" si="88"/>
        <v>0</v>
      </c>
      <c r="J1403" s="509"/>
      <c r="K1403" s="640"/>
      <c r="L1403" s="514"/>
      <c r="M1403" s="640"/>
      <c r="N1403" s="514"/>
      <c r="O1403" s="514"/>
    </row>
    <row r="1404" spans="3:15">
      <c r="C1404" s="505">
        <f>IF(D1343="","-",+C1403+1)</f>
        <v>2070</v>
      </c>
      <c r="D1404" s="469">
        <f t="shared" si="85"/>
        <v>0</v>
      </c>
      <c r="E1404" s="511">
        <f t="shared" si="89"/>
        <v>0</v>
      </c>
      <c r="F1404" s="469">
        <f t="shared" si="84"/>
        <v>0</v>
      </c>
      <c r="G1404" s="935">
        <f t="shared" si="86"/>
        <v>0</v>
      </c>
      <c r="H1404" s="938">
        <f t="shared" si="87"/>
        <v>0</v>
      </c>
      <c r="I1404" s="509">
        <f t="shared" si="88"/>
        <v>0</v>
      </c>
      <c r="J1404" s="509"/>
      <c r="K1404" s="640"/>
      <c r="L1404" s="514"/>
      <c r="M1404" s="640"/>
      <c r="N1404" s="514"/>
      <c r="O1404" s="514"/>
    </row>
    <row r="1405" spans="3:15">
      <c r="C1405" s="505">
        <f>IF(D1343="","-",+C1404+1)</f>
        <v>2071</v>
      </c>
      <c r="D1405" s="469">
        <f t="shared" si="85"/>
        <v>0</v>
      </c>
      <c r="E1405" s="511">
        <f t="shared" si="89"/>
        <v>0</v>
      </c>
      <c r="F1405" s="469">
        <f t="shared" si="84"/>
        <v>0</v>
      </c>
      <c r="G1405" s="935">
        <f t="shared" si="86"/>
        <v>0</v>
      </c>
      <c r="H1405" s="938">
        <f t="shared" si="87"/>
        <v>0</v>
      </c>
      <c r="I1405" s="509">
        <f t="shared" si="88"/>
        <v>0</v>
      </c>
      <c r="J1405" s="509"/>
      <c r="K1405" s="640"/>
      <c r="L1405" s="514"/>
      <c r="M1405" s="640"/>
      <c r="N1405" s="514"/>
      <c r="O1405" s="514"/>
    </row>
    <row r="1406" spans="3:15">
      <c r="C1406" s="505">
        <f>IF(D1343="","-",+C1405+1)</f>
        <v>2072</v>
      </c>
      <c r="D1406" s="469">
        <f t="shared" si="85"/>
        <v>0</v>
      </c>
      <c r="E1406" s="511">
        <f t="shared" si="89"/>
        <v>0</v>
      </c>
      <c r="F1406" s="469">
        <f t="shared" si="84"/>
        <v>0</v>
      </c>
      <c r="G1406" s="935">
        <f t="shared" si="86"/>
        <v>0</v>
      </c>
      <c r="H1406" s="938">
        <f t="shared" si="87"/>
        <v>0</v>
      </c>
      <c r="I1406" s="509">
        <f t="shared" si="88"/>
        <v>0</v>
      </c>
      <c r="J1406" s="509"/>
      <c r="K1406" s="640"/>
      <c r="L1406" s="514"/>
      <c r="M1406" s="640"/>
      <c r="N1406" s="514"/>
      <c r="O1406" s="514"/>
    </row>
    <row r="1407" spans="3:15">
      <c r="C1407" s="505">
        <f>IF(D1343="","-",+C1406+1)</f>
        <v>2073</v>
      </c>
      <c r="D1407" s="469">
        <f t="shared" si="85"/>
        <v>0</v>
      </c>
      <c r="E1407" s="511">
        <f t="shared" si="89"/>
        <v>0</v>
      </c>
      <c r="F1407" s="469">
        <f t="shared" si="84"/>
        <v>0</v>
      </c>
      <c r="G1407" s="935">
        <f t="shared" si="86"/>
        <v>0</v>
      </c>
      <c r="H1407" s="938">
        <f t="shared" si="87"/>
        <v>0</v>
      </c>
      <c r="I1407" s="509">
        <f t="shared" si="88"/>
        <v>0</v>
      </c>
      <c r="J1407" s="509"/>
      <c r="K1407" s="640"/>
      <c r="L1407" s="514"/>
      <c r="M1407" s="640"/>
      <c r="N1407" s="514"/>
      <c r="O1407" s="514"/>
    </row>
    <row r="1408" spans="3:15" ht="13.5" thickBot="1">
      <c r="C1408" s="515">
        <f>IF(D1343="","-",+C1407+1)</f>
        <v>2074</v>
      </c>
      <c r="D1408" s="516">
        <f t="shared" si="85"/>
        <v>0</v>
      </c>
      <c r="E1408" s="517">
        <f t="shared" si="89"/>
        <v>0</v>
      </c>
      <c r="F1408" s="516">
        <f t="shared" si="84"/>
        <v>0</v>
      </c>
      <c r="G1408" s="946">
        <f t="shared" si="86"/>
        <v>0</v>
      </c>
      <c r="H1408" s="946">
        <f t="shared" si="87"/>
        <v>0</v>
      </c>
      <c r="I1408" s="519">
        <f t="shared" si="88"/>
        <v>0</v>
      </c>
      <c r="J1408" s="509"/>
      <c r="K1408" s="641"/>
      <c r="L1408" s="521"/>
      <c r="M1408" s="641"/>
      <c r="N1408" s="521"/>
      <c r="O1408" s="521"/>
    </row>
    <row r="1409" spans="1:16">
      <c r="C1409" s="469" t="s">
        <v>288</v>
      </c>
      <c r="D1409" s="915"/>
      <c r="E1409" s="469"/>
      <c r="F1409" s="915"/>
      <c r="G1409" s="915">
        <f>SUM(G1349:G1408)</f>
        <v>8491275.0659943875</v>
      </c>
      <c r="H1409" s="915">
        <f>SUM(H1349:H1408)</f>
        <v>8491275.0659943875</v>
      </c>
      <c r="I1409" s="915">
        <f>SUM(I1349:I1408)</f>
        <v>0</v>
      </c>
      <c r="J1409" s="915"/>
      <c r="K1409" s="915"/>
      <c r="L1409" s="915"/>
      <c r="M1409" s="915"/>
      <c r="N1409" s="915"/>
      <c r="O1409" s="4"/>
    </row>
    <row r="1410" spans="1:16">
      <c r="D1410" s="79"/>
      <c r="E1410" s="4"/>
      <c r="F1410" s="4"/>
      <c r="G1410" s="4"/>
      <c r="H1410" s="914"/>
      <c r="I1410" s="914"/>
      <c r="J1410" s="915"/>
      <c r="K1410" s="914"/>
      <c r="L1410" s="914"/>
      <c r="M1410" s="914"/>
      <c r="N1410" s="914"/>
      <c r="O1410" s="4"/>
    </row>
    <row r="1411" spans="1:16">
      <c r="C1411" s="4" t="s">
        <v>595</v>
      </c>
      <c r="D1411" s="79"/>
      <c r="E1411" s="4"/>
      <c r="F1411" s="4"/>
      <c r="G1411" s="4"/>
      <c r="H1411" s="914"/>
      <c r="I1411" s="914"/>
      <c r="J1411" s="915"/>
      <c r="K1411" s="914"/>
      <c r="L1411" s="914"/>
      <c r="M1411" s="914"/>
      <c r="N1411" s="914"/>
      <c r="O1411" s="4"/>
    </row>
    <row r="1412" spans="1:16">
      <c r="C1412" s="4"/>
      <c r="D1412" s="79"/>
      <c r="E1412" s="4"/>
      <c r="F1412" s="4"/>
      <c r="G1412" s="4"/>
      <c r="H1412" s="914"/>
      <c r="I1412" s="914"/>
      <c r="J1412" s="915"/>
      <c r="K1412" s="914"/>
      <c r="L1412" s="914"/>
      <c r="M1412" s="914"/>
      <c r="N1412" s="914"/>
      <c r="O1412" s="4"/>
    </row>
    <row r="1413" spans="1:16">
      <c r="C1413" s="479" t="s">
        <v>924</v>
      </c>
      <c r="D1413" s="469"/>
      <c r="E1413" s="469"/>
      <c r="F1413" s="469"/>
      <c r="G1413" s="915"/>
      <c r="H1413" s="915"/>
      <c r="I1413" s="471"/>
      <c r="J1413" s="471"/>
      <c r="K1413" s="471"/>
      <c r="L1413" s="471"/>
      <c r="M1413" s="471"/>
      <c r="N1413" s="471"/>
      <c r="O1413" s="4"/>
    </row>
    <row r="1414" spans="1:16">
      <c r="C1414" s="479" t="s">
        <v>476</v>
      </c>
      <c r="D1414" s="469"/>
      <c r="E1414" s="469"/>
      <c r="F1414" s="469"/>
      <c r="G1414" s="915"/>
      <c r="H1414" s="915"/>
      <c r="I1414" s="471"/>
      <c r="J1414" s="471"/>
      <c r="K1414" s="471"/>
      <c r="L1414" s="471"/>
      <c r="M1414" s="471"/>
      <c r="N1414" s="471"/>
      <c r="O1414" s="4"/>
    </row>
    <row r="1415" spans="1:16">
      <c r="C1415" s="470" t="s">
        <v>289</v>
      </c>
      <c r="D1415" s="469"/>
      <c r="E1415" s="469"/>
      <c r="F1415" s="469"/>
      <c r="G1415" s="915"/>
      <c r="H1415" s="915"/>
      <c r="I1415" s="471"/>
      <c r="J1415" s="471"/>
      <c r="K1415" s="471"/>
      <c r="L1415" s="471"/>
      <c r="M1415" s="471"/>
      <c r="N1415" s="471"/>
      <c r="O1415" s="4"/>
    </row>
    <row r="1416" spans="1:16">
      <c r="C1416" s="470"/>
      <c r="D1416" s="469"/>
      <c r="E1416" s="469"/>
      <c r="F1416" s="469"/>
      <c r="G1416" s="915"/>
      <c r="H1416" s="915"/>
      <c r="I1416" s="471"/>
      <c r="J1416" s="471"/>
      <c r="K1416" s="471"/>
      <c r="L1416" s="471"/>
      <c r="M1416" s="471"/>
      <c r="N1416" s="471"/>
      <c r="O1416" s="4"/>
    </row>
    <row r="1417" spans="1:16">
      <c r="C1417" s="1275" t="s">
        <v>460</v>
      </c>
      <c r="D1417" s="1275"/>
      <c r="E1417" s="1275"/>
      <c r="F1417" s="1275"/>
      <c r="G1417" s="1275"/>
      <c r="H1417" s="1275"/>
      <c r="I1417" s="1275"/>
      <c r="J1417" s="1275"/>
      <c r="K1417" s="1275"/>
      <c r="L1417" s="1275"/>
      <c r="M1417" s="1275"/>
      <c r="N1417" s="1275"/>
      <c r="O1417" s="1275"/>
    </row>
    <row r="1418" spans="1:16">
      <c r="C1418" s="1275"/>
      <c r="D1418" s="1275"/>
      <c r="E1418" s="1275"/>
      <c r="F1418" s="1275"/>
      <c r="G1418" s="1275"/>
      <c r="H1418" s="1275"/>
      <c r="I1418" s="1275"/>
      <c r="J1418" s="1275"/>
      <c r="K1418" s="1275"/>
      <c r="L1418" s="1275"/>
      <c r="M1418" s="1275"/>
      <c r="N1418" s="1275"/>
      <c r="O1418" s="1275"/>
    </row>
    <row r="1419" spans="1:16" ht="20.25">
      <c r="A1419" s="411" t="s">
        <v>921</v>
      </c>
      <c r="B1419" s="4"/>
      <c r="C1419" s="4"/>
      <c r="D1419" s="79"/>
      <c r="E1419" s="4"/>
      <c r="F1419" s="81"/>
      <c r="G1419" s="4"/>
      <c r="H1419" s="914"/>
      <c r="K1419" s="11"/>
      <c r="L1419" s="11"/>
      <c r="M1419" s="11"/>
      <c r="N1419" s="11" t="str">
        <f>"Page "&amp;SUM(P$6:P1419)&amp;" of "</f>
        <v xml:space="preserve">Page 16 of </v>
      </c>
      <c r="O1419" s="412">
        <f>COUNT(P$6:P$59579)</f>
        <v>22</v>
      </c>
      <c r="P1419" s="4">
        <v>1</v>
      </c>
    </row>
    <row r="1420" spans="1:16">
      <c r="B1420" s="4"/>
      <c r="C1420" s="4"/>
      <c r="D1420" s="79"/>
      <c r="E1420" s="4"/>
      <c r="F1420" s="4"/>
      <c r="G1420" s="4"/>
      <c r="H1420" s="914"/>
      <c r="I1420" s="4"/>
      <c r="J1420" s="4"/>
      <c r="K1420" s="4"/>
      <c r="L1420" s="4"/>
      <c r="M1420" s="4"/>
      <c r="N1420" s="4"/>
      <c r="O1420" s="4"/>
    </row>
    <row r="1421" spans="1:16" ht="18">
      <c r="B1421" s="413" t="s">
        <v>174</v>
      </c>
      <c r="C1421" s="472" t="s">
        <v>290</v>
      </c>
      <c r="D1421" s="79"/>
      <c r="E1421" s="4"/>
      <c r="F1421" s="4"/>
      <c r="G1421" s="4"/>
      <c r="H1421" s="914"/>
      <c r="I1421" s="914"/>
      <c r="J1421" s="915"/>
      <c r="K1421" s="914"/>
      <c r="L1421" s="914"/>
      <c r="M1421" s="914"/>
      <c r="N1421" s="914"/>
      <c r="O1421" s="4"/>
    </row>
    <row r="1422" spans="1:16" ht="18.75">
      <c r="B1422" s="413"/>
      <c r="C1422" s="13"/>
      <c r="D1422" s="79"/>
      <c r="E1422" s="4"/>
      <c r="F1422" s="4"/>
      <c r="G1422" s="4"/>
      <c r="H1422" s="914"/>
      <c r="I1422" s="914"/>
      <c r="J1422" s="915"/>
      <c r="K1422" s="914"/>
      <c r="L1422" s="914"/>
      <c r="M1422" s="914"/>
      <c r="N1422" s="914"/>
      <c r="O1422" s="4"/>
    </row>
    <row r="1423" spans="1:16" ht="18.75">
      <c r="B1423" s="413"/>
      <c r="C1423" s="13" t="s">
        <v>291</v>
      </c>
      <c r="D1423" s="79"/>
      <c r="E1423" s="4"/>
      <c r="F1423" s="4"/>
      <c r="G1423" s="4"/>
      <c r="H1423" s="914"/>
      <c r="I1423" s="914"/>
      <c r="J1423" s="915"/>
      <c r="K1423" s="914"/>
      <c r="L1423" s="914"/>
      <c r="M1423" s="914"/>
      <c r="N1423" s="914"/>
      <c r="O1423" s="4"/>
    </row>
    <row r="1424" spans="1:16" ht="15.75" thickBot="1">
      <c r="C1424" s="247"/>
      <c r="D1424" s="79"/>
      <c r="E1424" s="4"/>
      <c r="F1424" s="4"/>
      <c r="G1424" s="4"/>
      <c r="H1424" s="914"/>
      <c r="I1424" s="914"/>
      <c r="J1424" s="915"/>
      <c r="K1424" s="914"/>
      <c r="L1424" s="914"/>
      <c r="M1424" s="914"/>
      <c r="N1424" s="914"/>
      <c r="O1424" s="4"/>
    </row>
    <row r="1425" spans="1:15" ht="15.75">
      <c r="C1425" s="414" t="s">
        <v>292</v>
      </c>
      <c r="D1425" s="79"/>
      <c r="E1425" s="4"/>
      <c r="F1425" s="4"/>
      <c r="G1425" s="948"/>
      <c r="H1425" s="4" t="s">
        <v>271</v>
      </c>
      <c r="I1425" s="4"/>
      <c r="J1425" s="4"/>
      <c r="K1425" s="473" t="s">
        <v>296</v>
      </c>
      <c r="L1425" s="474"/>
      <c r="M1425" s="475"/>
      <c r="N1425" s="917">
        <f>VLOOKUP(I1431,C1438:O1497,5)</f>
        <v>0</v>
      </c>
      <c r="O1425" s="4"/>
    </row>
    <row r="1426" spans="1:15" ht="15.75">
      <c r="C1426" s="414"/>
      <c r="D1426" s="79"/>
      <c r="E1426" s="4"/>
      <c r="F1426" s="4"/>
      <c r="G1426" s="4"/>
      <c r="H1426" s="918"/>
      <c r="I1426" s="918"/>
      <c r="J1426" s="919"/>
      <c r="K1426" s="478" t="s">
        <v>297</v>
      </c>
      <c r="L1426" s="920"/>
      <c r="M1426" s="4"/>
      <c r="N1426" s="921">
        <f>VLOOKUP(I1431,C1438:O1497,6)</f>
        <v>0</v>
      </c>
      <c r="O1426" s="4"/>
    </row>
    <row r="1427" spans="1:15" ht="15.75" thickBot="1">
      <c r="C1427" s="479" t="s">
        <v>293</v>
      </c>
      <c r="D1427" s="1286" t="s">
        <v>939</v>
      </c>
      <c r="E1427" s="1286"/>
      <c r="F1427" s="1286"/>
      <c r="G1427" s="1286"/>
      <c r="H1427" s="918"/>
      <c r="I1427" s="918"/>
      <c r="J1427" s="915"/>
      <c r="K1427" s="922" t="s">
        <v>450</v>
      </c>
      <c r="L1427" s="923"/>
      <c r="M1427" s="923"/>
      <c r="N1427" s="924">
        <f>+N1426-N1425</f>
        <v>0</v>
      </c>
      <c r="O1427" s="4"/>
    </row>
    <row r="1428" spans="1:15">
      <c r="C1428" s="481"/>
      <c r="D1428" s="482"/>
      <c r="E1428" s="469"/>
      <c r="F1428" s="469"/>
      <c r="G1428" s="483"/>
      <c r="H1428" s="914"/>
      <c r="I1428" s="914"/>
      <c r="J1428" s="915"/>
      <c r="K1428" s="914"/>
      <c r="L1428" s="914"/>
      <c r="M1428" s="914"/>
      <c r="N1428" s="914"/>
      <c r="O1428" s="4"/>
    </row>
    <row r="1429" spans="1:15" ht="13.5" thickBot="1">
      <c r="C1429" s="481"/>
      <c r="D1429" s="925"/>
      <c r="E1429" s="483"/>
      <c r="F1429" s="483"/>
      <c r="G1429" s="483"/>
      <c r="H1429" s="483"/>
      <c r="I1429" s="483"/>
      <c r="J1429" s="483"/>
      <c r="K1429" s="483"/>
      <c r="L1429" s="483"/>
      <c r="M1429" s="483"/>
      <c r="N1429" s="483"/>
      <c r="O1429" s="4"/>
    </row>
    <row r="1430" spans="1:15" ht="13.5" thickBot="1">
      <c r="C1430" s="484" t="s">
        <v>294</v>
      </c>
      <c r="D1430" s="485"/>
      <c r="E1430" s="485"/>
      <c r="F1430" s="485"/>
      <c r="G1430" s="485"/>
      <c r="H1430" s="485"/>
      <c r="I1430" s="486"/>
      <c r="K1430" s="4"/>
      <c r="L1430" s="4"/>
      <c r="M1430" s="4"/>
      <c r="N1430" s="4"/>
      <c r="O1430" s="4"/>
    </row>
    <row r="1431" spans="1:15" ht="15">
      <c r="C1431" s="487" t="s">
        <v>272</v>
      </c>
      <c r="D1431" s="926">
        <v>0</v>
      </c>
      <c r="E1431" s="4" t="s">
        <v>273</v>
      </c>
      <c r="G1431" s="79"/>
      <c r="H1431" s="79"/>
      <c r="I1431" s="488">
        <v>2018</v>
      </c>
      <c r="J1431" s="135"/>
      <c r="K1431" s="1277" t="s">
        <v>459</v>
      </c>
      <c r="L1431" s="1277"/>
      <c r="M1431" s="1277"/>
      <c r="N1431" s="1277"/>
      <c r="O1431" s="1277"/>
    </row>
    <row r="1432" spans="1:15">
      <c r="C1432" s="487" t="s">
        <v>275</v>
      </c>
      <c r="D1432" s="926">
        <v>2015</v>
      </c>
      <c r="E1432" s="487" t="s">
        <v>276</v>
      </c>
      <c r="F1432" s="79"/>
      <c r="H1432"/>
      <c r="I1432" s="927">
        <f>IF(G1425="",0,$F$15)</f>
        <v>0</v>
      </c>
      <c r="J1432" s="489"/>
      <c r="K1432" s="915" t="s">
        <v>459</v>
      </c>
    </row>
    <row r="1433" spans="1:15">
      <c r="C1433" s="487" t="s">
        <v>277</v>
      </c>
      <c r="D1433" s="926">
        <v>12</v>
      </c>
      <c r="E1433" s="487" t="s">
        <v>278</v>
      </c>
      <c r="F1433" s="79"/>
      <c r="H1433"/>
      <c r="I1433" s="490">
        <f>$G$70</f>
        <v>0.14996626714737105</v>
      </c>
      <c r="J1433" s="81"/>
      <c r="K1433" t="str">
        <f>"          INPUT PROJECTED ARR (WITH &amp; WITHOUT INCENTIVES) FROM EACH PRIOR YEAR"</f>
        <v xml:space="preserve">          INPUT PROJECTED ARR (WITH &amp; WITHOUT INCENTIVES) FROM EACH PRIOR YEAR</v>
      </c>
    </row>
    <row r="1434" spans="1:15">
      <c r="C1434" s="487" t="s">
        <v>279</v>
      </c>
      <c r="D1434" s="959">
        <f>G$79</f>
        <v>42</v>
      </c>
      <c r="E1434" s="487" t="s">
        <v>280</v>
      </c>
      <c r="F1434" s="79"/>
      <c r="H1434"/>
      <c r="I1434" s="490">
        <f>IF(G1425="",I1433,$G$67)</f>
        <v>0.14996626714737105</v>
      </c>
      <c r="J1434" s="81"/>
      <c r="K1434" t="s">
        <v>357</v>
      </c>
    </row>
    <row r="1435" spans="1:15" ht="13.5" thickBot="1">
      <c r="C1435" s="487" t="s">
        <v>281</v>
      </c>
      <c r="D1435" s="637" t="s">
        <v>923</v>
      </c>
      <c r="E1435" s="492" t="s">
        <v>282</v>
      </c>
      <c r="F1435" s="493"/>
      <c r="G1435" s="494"/>
      <c r="H1435" s="494"/>
      <c r="I1435" s="924">
        <f>IF(D1431=0,0,D1431/D1434)</f>
        <v>0</v>
      </c>
      <c r="J1435" s="915"/>
      <c r="K1435" s="915" t="s">
        <v>363</v>
      </c>
      <c r="L1435" s="915"/>
      <c r="M1435" s="915"/>
      <c r="N1435" s="915"/>
      <c r="O1435" s="4"/>
    </row>
    <row r="1436" spans="1:15" ht="51">
      <c r="A1436" s="12"/>
      <c r="B1436" s="12"/>
      <c r="C1436" s="495" t="s">
        <v>272</v>
      </c>
      <c r="D1436" s="928" t="s">
        <v>283</v>
      </c>
      <c r="E1436" s="929" t="s">
        <v>284</v>
      </c>
      <c r="F1436" s="928" t="s">
        <v>285</v>
      </c>
      <c r="G1436" s="929" t="s">
        <v>356</v>
      </c>
      <c r="H1436" s="930" t="s">
        <v>356</v>
      </c>
      <c r="I1436" s="495" t="s">
        <v>295</v>
      </c>
      <c r="J1436" s="499"/>
      <c r="K1436" s="929" t="s">
        <v>365</v>
      </c>
      <c r="L1436" s="931"/>
      <c r="M1436" s="929" t="s">
        <v>365</v>
      </c>
      <c r="N1436" s="931"/>
      <c r="O1436" s="931"/>
    </row>
    <row r="1437" spans="1:15" ht="13.5" thickBot="1">
      <c r="C1437" s="500" t="s">
        <v>177</v>
      </c>
      <c r="D1437" s="501" t="s">
        <v>178</v>
      </c>
      <c r="E1437" s="500" t="s">
        <v>37</v>
      </c>
      <c r="F1437" s="501" t="s">
        <v>178</v>
      </c>
      <c r="G1437" s="932" t="s">
        <v>298</v>
      </c>
      <c r="H1437" s="933" t="s">
        <v>300</v>
      </c>
      <c r="I1437" s="500" t="s">
        <v>389</v>
      </c>
      <c r="J1437" s="504"/>
      <c r="K1437" s="932" t="s">
        <v>287</v>
      </c>
      <c r="L1437" s="934"/>
      <c r="M1437" s="932" t="s">
        <v>300</v>
      </c>
      <c r="N1437" s="934"/>
      <c r="O1437" s="934"/>
    </row>
    <row r="1438" spans="1:15">
      <c r="C1438" s="505">
        <f>IF(D1432= "","-",D1432)</f>
        <v>2015</v>
      </c>
      <c r="D1438" s="469">
        <f>+D1431</f>
        <v>0</v>
      </c>
      <c r="E1438" s="935">
        <f>+I1435/12*(12-D1433)</f>
        <v>0</v>
      </c>
      <c r="F1438" s="469">
        <f t="shared" ref="F1438:F1497" si="90">+D1438-E1438</f>
        <v>0</v>
      </c>
      <c r="G1438" s="936">
        <f>+$I$1433*((D1438+F1438)/2)+E1438</f>
        <v>0</v>
      </c>
      <c r="H1438" s="937">
        <f>$I$1434*((D1438+F1438)/2)+E1438</f>
        <v>0</v>
      </c>
      <c r="I1438" s="509">
        <f>+H1438-G1438</f>
        <v>0</v>
      </c>
      <c r="J1438" s="509"/>
      <c r="K1438" s="639">
        <v>63382</v>
      </c>
      <c r="L1438" s="510"/>
      <c r="M1438" s="639">
        <v>63382</v>
      </c>
      <c r="N1438" s="510"/>
      <c r="O1438" s="510"/>
    </row>
    <row r="1439" spans="1:15">
      <c r="C1439" s="505">
        <f>IF(D1432="","-",+C1438+1)</f>
        <v>2016</v>
      </c>
      <c r="D1439" s="469">
        <f t="shared" ref="D1439:D1497" si="91">F1438</f>
        <v>0</v>
      </c>
      <c r="E1439" s="511">
        <f>IF(D1439&gt;$I$1435,$I$1435,D1439)</f>
        <v>0</v>
      </c>
      <c r="F1439" s="469">
        <f t="shared" si="90"/>
        <v>0</v>
      </c>
      <c r="G1439" s="935">
        <f t="shared" ref="G1439:G1497" si="92">+$I$1433*((D1439+F1439)/2)+E1439</f>
        <v>0</v>
      </c>
      <c r="H1439" s="938">
        <f t="shared" ref="H1439:H1497" si="93">$I$1434*((D1439+F1439)/2)+E1439</f>
        <v>0</v>
      </c>
      <c r="I1439" s="509">
        <f t="shared" ref="I1439:I1497" si="94">+H1439-G1439</f>
        <v>0</v>
      </c>
      <c r="J1439" s="509"/>
      <c r="K1439" s="640">
        <v>0</v>
      </c>
      <c r="L1439" s="514"/>
      <c r="M1439" s="640">
        <v>0</v>
      </c>
      <c r="N1439" s="514"/>
      <c r="O1439" s="514"/>
    </row>
    <row r="1440" spans="1:15">
      <c r="C1440" s="505">
        <f>IF(D1432="","-",+C1439+1)</f>
        <v>2017</v>
      </c>
      <c r="D1440" s="469">
        <f t="shared" si="91"/>
        <v>0</v>
      </c>
      <c r="E1440" s="511">
        <f t="shared" ref="E1440:E1497" si="95">IF(D1440&gt;$I$1435,$I$1435,D1440)</f>
        <v>0</v>
      </c>
      <c r="F1440" s="469">
        <f t="shared" si="90"/>
        <v>0</v>
      </c>
      <c r="G1440" s="935">
        <f t="shared" si="92"/>
        <v>0</v>
      </c>
      <c r="H1440" s="938">
        <f t="shared" si="93"/>
        <v>0</v>
      </c>
      <c r="I1440" s="509">
        <f t="shared" si="94"/>
        <v>0</v>
      </c>
      <c r="J1440" s="509"/>
      <c r="K1440" s="640">
        <v>28232</v>
      </c>
      <c r="L1440" s="514"/>
      <c r="M1440" s="640">
        <v>28232</v>
      </c>
      <c r="N1440" s="514"/>
      <c r="O1440" s="514"/>
    </row>
    <row r="1441" spans="3:15">
      <c r="C1441" s="940">
        <f>IF(D1432="","-",+C1440+1)</f>
        <v>2018</v>
      </c>
      <c r="D1441" s="941">
        <f t="shared" si="91"/>
        <v>0</v>
      </c>
      <c r="E1441" s="942">
        <f t="shared" si="95"/>
        <v>0</v>
      </c>
      <c r="F1441" s="941">
        <f t="shared" si="90"/>
        <v>0</v>
      </c>
      <c r="G1441" s="943">
        <f t="shared" si="92"/>
        <v>0</v>
      </c>
      <c r="H1441" s="944">
        <f t="shared" si="93"/>
        <v>0</v>
      </c>
      <c r="I1441" s="945">
        <f t="shared" si="94"/>
        <v>0</v>
      </c>
      <c r="J1441" s="509"/>
      <c r="K1441" s="640"/>
      <c r="L1441" s="514"/>
      <c r="M1441" s="640"/>
      <c r="N1441" s="514"/>
      <c r="O1441" s="514"/>
    </row>
    <row r="1442" spans="3:15">
      <c r="C1442" s="505">
        <f>IF(D1432="","-",+C1441+1)</f>
        <v>2019</v>
      </c>
      <c r="D1442" s="469">
        <f t="shared" si="91"/>
        <v>0</v>
      </c>
      <c r="E1442" s="511">
        <f t="shared" si="95"/>
        <v>0</v>
      </c>
      <c r="F1442" s="469">
        <f t="shared" si="90"/>
        <v>0</v>
      </c>
      <c r="G1442" s="935">
        <f t="shared" si="92"/>
        <v>0</v>
      </c>
      <c r="H1442" s="938">
        <f t="shared" si="93"/>
        <v>0</v>
      </c>
      <c r="I1442" s="509">
        <f t="shared" si="94"/>
        <v>0</v>
      </c>
      <c r="J1442" s="509"/>
      <c r="K1442" s="640"/>
      <c r="L1442" s="514"/>
      <c r="M1442" s="640"/>
      <c r="N1442" s="514"/>
      <c r="O1442" s="514"/>
    </row>
    <row r="1443" spans="3:15">
      <c r="C1443" s="505">
        <f>IF(D1432="","-",+C1442+1)</f>
        <v>2020</v>
      </c>
      <c r="D1443" s="469">
        <f t="shared" si="91"/>
        <v>0</v>
      </c>
      <c r="E1443" s="511">
        <f t="shared" si="95"/>
        <v>0</v>
      </c>
      <c r="F1443" s="469">
        <f t="shared" si="90"/>
        <v>0</v>
      </c>
      <c r="G1443" s="935">
        <f t="shared" si="92"/>
        <v>0</v>
      </c>
      <c r="H1443" s="938">
        <f t="shared" si="93"/>
        <v>0</v>
      </c>
      <c r="I1443" s="509">
        <f t="shared" si="94"/>
        <v>0</v>
      </c>
      <c r="J1443" s="509"/>
      <c r="K1443" s="640"/>
      <c r="L1443" s="514"/>
      <c r="M1443" s="640"/>
      <c r="N1443" s="514"/>
      <c r="O1443" s="514"/>
    </row>
    <row r="1444" spans="3:15">
      <c r="C1444" s="505">
        <f>IF(D1432="","-",+C1443+1)</f>
        <v>2021</v>
      </c>
      <c r="D1444" s="469">
        <f t="shared" si="91"/>
        <v>0</v>
      </c>
      <c r="E1444" s="511">
        <f t="shared" si="95"/>
        <v>0</v>
      </c>
      <c r="F1444" s="469">
        <f t="shared" si="90"/>
        <v>0</v>
      </c>
      <c r="G1444" s="935">
        <f t="shared" si="92"/>
        <v>0</v>
      </c>
      <c r="H1444" s="938">
        <f t="shared" si="93"/>
        <v>0</v>
      </c>
      <c r="I1444" s="509">
        <f t="shared" si="94"/>
        <v>0</v>
      </c>
      <c r="J1444" s="509"/>
      <c r="K1444" s="640"/>
      <c r="L1444" s="514"/>
      <c r="M1444" s="640"/>
      <c r="N1444" s="514"/>
      <c r="O1444" s="514"/>
    </row>
    <row r="1445" spans="3:15">
      <c r="C1445" s="505">
        <f>IF(D1432="","-",+C1444+1)</f>
        <v>2022</v>
      </c>
      <c r="D1445" s="469">
        <f t="shared" si="91"/>
        <v>0</v>
      </c>
      <c r="E1445" s="511">
        <f t="shared" si="95"/>
        <v>0</v>
      </c>
      <c r="F1445" s="469">
        <f t="shared" si="90"/>
        <v>0</v>
      </c>
      <c r="G1445" s="935">
        <f t="shared" si="92"/>
        <v>0</v>
      </c>
      <c r="H1445" s="938">
        <f t="shared" si="93"/>
        <v>0</v>
      </c>
      <c r="I1445" s="509">
        <f t="shared" si="94"/>
        <v>0</v>
      </c>
      <c r="J1445" s="509"/>
      <c r="K1445" s="640"/>
      <c r="L1445" s="514"/>
      <c r="M1445" s="640"/>
      <c r="N1445" s="514"/>
      <c r="O1445" s="514"/>
    </row>
    <row r="1446" spans="3:15">
      <c r="C1446" s="505">
        <f>IF(D1432="","-",+C1445+1)</f>
        <v>2023</v>
      </c>
      <c r="D1446" s="469">
        <f t="shared" si="91"/>
        <v>0</v>
      </c>
      <c r="E1446" s="511">
        <f t="shared" si="95"/>
        <v>0</v>
      </c>
      <c r="F1446" s="469">
        <f t="shared" si="90"/>
        <v>0</v>
      </c>
      <c r="G1446" s="935">
        <f t="shared" si="92"/>
        <v>0</v>
      </c>
      <c r="H1446" s="938">
        <f t="shared" si="93"/>
        <v>0</v>
      </c>
      <c r="I1446" s="509">
        <f t="shared" si="94"/>
        <v>0</v>
      </c>
      <c r="J1446" s="509"/>
      <c r="K1446" s="640"/>
      <c r="L1446" s="514"/>
      <c r="M1446" s="640"/>
      <c r="N1446" s="514"/>
      <c r="O1446" s="514"/>
    </row>
    <row r="1447" spans="3:15">
      <c r="C1447" s="505">
        <f>IF(D1432="","-",+C1446+1)</f>
        <v>2024</v>
      </c>
      <c r="D1447" s="469">
        <f t="shared" si="91"/>
        <v>0</v>
      </c>
      <c r="E1447" s="511">
        <f t="shared" si="95"/>
        <v>0</v>
      </c>
      <c r="F1447" s="469">
        <f t="shared" si="90"/>
        <v>0</v>
      </c>
      <c r="G1447" s="935">
        <f t="shared" si="92"/>
        <v>0</v>
      </c>
      <c r="H1447" s="938">
        <f t="shared" si="93"/>
        <v>0</v>
      </c>
      <c r="I1447" s="509">
        <f t="shared" si="94"/>
        <v>0</v>
      </c>
      <c r="J1447" s="509"/>
      <c r="K1447" s="640"/>
      <c r="L1447" s="514"/>
      <c r="M1447" s="640"/>
      <c r="N1447" s="514"/>
      <c r="O1447" s="514"/>
    </row>
    <row r="1448" spans="3:15">
      <c r="C1448" s="505">
        <f>IF(D1432="","-",+C1447+1)</f>
        <v>2025</v>
      </c>
      <c r="D1448" s="469">
        <f t="shared" si="91"/>
        <v>0</v>
      </c>
      <c r="E1448" s="511">
        <f t="shared" si="95"/>
        <v>0</v>
      </c>
      <c r="F1448" s="469">
        <f t="shared" si="90"/>
        <v>0</v>
      </c>
      <c r="G1448" s="935">
        <f t="shared" si="92"/>
        <v>0</v>
      </c>
      <c r="H1448" s="938">
        <f t="shared" si="93"/>
        <v>0</v>
      </c>
      <c r="I1448" s="509">
        <f t="shared" si="94"/>
        <v>0</v>
      </c>
      <c r="J1448" s="509"/>
      <c r="K1448" s="640"/>
      <c r="L1448" s="514"/>
      <c r="M1448" s="640"/>
      <c r="N1448" s="514"/>
      <c r="O1448" s="514"/>
    </row>
    <row r="1449" spans="3:15">
      <c r="C1449" s="505">
        <f>IF(D1432="","-",+C1448+1)</f>
        <v>2026</v>
      </c>
      <c r="D1449" s="469">
        <f t="shared" si="91"/>
        <v>0</v>
      </c>
      <c r="E1449" s="511">
        <f t="shared" si="95"/>
        <v>0</v>
      </c>
      <c r="F1449" s="469">
        <f t="shared" si="90"/>
        <v>0</v>
      </c>
      <c r="G1449" s="935">
        <f t="shared" si="92"/>
        <v>0</v>
      </c>
      <c r="H1449" s="938">
        <f t="shared" si="93"/>
        <v>0</v>
      </c>
      <c r="I1449" s="509">
        <f t="shared" si="94"/>
        <v>0</v>
      </c>
      <c r="J1449" s="509"/>
      <c r="K1449" s="640"/>
      <c r="L1449" s="514"/>
      <c r="M1449" s="640"/>
      <c r="N1449" s="514"/>
      <c r="O1449" s="514"/>
    </row>
    <row r="1450" spans="3:15">
      <c r="C1450" s="505">
        <f>IF(D1432="","-",+C1449+1)</f>
        <v>2027</v>
      </c>
      <c r="D1450" s="469">
        <f t="shared" si="91"/>
        <v>0</v>
      </c>
      <c r="E1450" s="511">
        <f t="shared" si="95"/>
        <v>0</v>
      </c>
      <c r="F1450" s="469">
        <f t="shared" si="90"/>
        <v>0</v>
      </c>
      <c r="G1450" s="935">
        <f t="shared" si="92"/>
        <v>0</v>
      </c>
      <c r="H1450" s="938">
        <f t="shared" si="93"/>
        <v>0</v>
      </c>
      <c r="I1450" s="509">
        <f t="shared" si="94"/>
        <v>0</v>
      </c>
      <c r="J1450" s="509"/>
      <c r="K1450" s="640"/>
      <c r="L1450" s="514"/>
      <c r="M1450" s="640"/>
      <c r="N1450" s="514"/>
      <c r="O1450" s="514"/>
    </row>
    <row r="1451" spans="3:15">
      <c r="C1451" s="505">
        <f>IF(D1432="","-",+C1450+1)</f>
        <v>2028</v>
      </c>
      <c r="D1451" s="469">
        <f t="shared" si="91"/>
        <v>0</v>
      </c>
      <c r="E1451" s="511">
        <f t="shared" si="95"/>
        <v>0</v>
      </c>
      <c r="F1451" s="469">
        <f t="shared" si="90"/>
        <v>0</v>
      </c>
      <c r="G1451" s="935">
        <f t="shared" si="92"/>
        <v>0</v>
      </c>
      <c r="H1451" s="938">
        <f t="shared" si="93"/>
        <v>0</v>
      </c>
      <c r="I1451" s="509">
        <f t="shared" si="94"/>
        <v>0</v>
      </c>
      <c r="J1451" s="509"/>
      <c r="K1451" s="640"/>
      <c r="L1451" s="514"/>
      <c r="M1451" s="640"/>
      <c r="N1451" s="514"/>
      <c r="O1451" s="514"/>
    </row>
    <row r="1452" spans="3:15">
      <c r="C1452" s="505">
        <f>IF(D1432="","-",+C1451+1)</f>
        <v>2029</v>
      </c>
      <c r="D1452" s="469">
        <f t="shared" si="91"/>
        <v>0</v>
      </c>
      <c r="E1452" s="511">
        <f t="shared" si="95"/>
        <v>0</v>
      </c>
      <c r="F1452" s="469">
        <f t="shared" si="90"/>
        <v>0</v>
      </c>
      <c r="G1452" s="935">
        <f t="shared" si="92"/>
        <v>0</v>
      </c>
      <c r="H1452" s="938">
        <f t="shared" si="93"/>
        <v>0</v>
      </c>
      <c r="I1452" s="509">
        <f t="shared" si="94"/>
        <v>0</v>
      </c>
      <c r="J1452" s="509"/>
      <c r="K1452" s="640"/>
      <c r="L1452" s="514"/>
      <c r="M1452" s="640"/>
      <c r="N1452" s="514"/>
      <c r="O1452" s="514"/>
    </row>
    <row r="1453" spans="3:15">
      <c r="C1453" s="505">
        <f>IF(D1432="","-",+C1452+1)</f>
        <v>2030</v>
      </c>
      <c r="D1453" s="469">
        <f t="shared" si="91"/>
        <v>0</v>
      </c>
      <c r="E1453" s="511">
        <f t="shared" si="95"/>
        <v>0</v>
      </c>
      <c r="F1453" s="469">
        <f t="shared" si="90"/>
        <v>0</v>
      </c>
      <c r="G1453" s="935">
        <f t="shared" si="92"/>
        <v>0</v>
      </c>
      <c r="H1453" s="938">
        <f t="shared" si="93"/>
        <v>0</v>
      </c>
      <c r="I1453" s="509">
        <f t="shared" si="94"/>
        <v>0</v>
      </c>
      <c r="J1453" s="509"/>
      <c r="K1453" s="640"/>
      <c r="L1453" s="514"/>
      <c r="M1453" s="640"/>
      <c r="N1453" s="514"/>
      <c r="O1453" s="514"/>
    </row>
    <row r="1454" spans="3:15">
      <c r="C1454" s="505">
        <f>IF(D1432="","-",+C1453+1)</f>
        <v>2031</v>
      </c>
      <c r="D1454" s="469">
        <f t="shared" si="91"/>
        <v>0</v>
      </c>
      <c r="E1454" s="511">
        <f t="shared" si="95"/>
        <v>0</v>
      </c>
      <c r="F1454" s="469">
        <f t="shared" si="90"/>
        <v>0</v>
      </c>
      <c r="G1454" s="935">
        <f t="shared" si="92"/>
        <v>0</v>
      </c>
      <c r="H1454" s="938">
        <f t="shared" si="93"/>
        <v>0</v>
      </c>
      <c r="I1454" s="509">
        <f t="shared" si="94"/>
        <v>0</v>
      </c>
      <c r="J1454" s="509"/>
      <c r="K1454" s="640"/>
      <c r="L1454" s="514"/>
      <c r="M1454" s="640"/>
      <c r="N1454" s="514"/>
      <c r="O1454" s="514"/>
    </row>
    <row r="1455" spans="3:15">
      <c r="C1455" s="505">
        <f>IF(D1432="","-",+C1454+1)</f>
        <v>2032</v>
      </c>
      <c r="D1455" s="469">
        <f t="shared" si="91"/>
        <v>0</v>
      </c>
      <c r="E1455" s="511">
        <f t="shared" si="95"/>
        <v>0</v>
      </c>
      <c r="F1455" s="469">
        <f t="shared" si="90"/>
        <v>0</v>
      </c>
      <c r="G1455" s="935">
        <f t="shared" si="92"/>
        <v>0</v>
      </c>
      <c r="H1455" s="938">
        <f t="shared" si="93"/>
        <v>0</v>
      </c>
      <c r="I1455" s="509">
        <f t="shared" si="94"/>
        <v>0</v>
      </c>
      <c r="J1455" s="509"/>
      <c r="K1455" s="640"/>
      <c r="L1455" s="514"/>
      <c r="M1455" s="640"/>
      <c r="N1455" s="514"/>
      <c r="O1455" s="514"/>
    </row>
    <row r="1456" spans="3:15">
      <c r="C1456" s="505">
        <f>IF(D1432="","-",+C1455+1)</f>
        <v>2033</v>
      </c>
      <c r="D1456" s="469">
        <f t="shared" si="91"/>
        <v>0</v>
      </c>
      <c r="E1456" s="511">
        <f t="shared" si="95"/>
        <v>0</v>
      </c>
      <c r="F1456" s="469">
        <f t="shared" si="90"/>
        <v>0</v>
      </c>
      <c r="G1456" s="935">
        <f t="shared" si="92"/>
        <v>0</v>
      </c>
      <c r="H1456" s="938">
        <f t="shared" si="93"/>
        <v>0</v>
      </c>
      <c r="I1456" s="509">
        <f t="shared" si="94"/>
        <v>0</v>
      </c>
      <c r="J1456" s="509"/>
      <c r="K1456" s="640"/>
      <c r="L1456" s="514"/>
      <c r="M1456" s="640"/>
      <c r="N1456" s="514"/>
      <c r="O1456" s="514"/>
    </row>
    <row r="1457" spans="3:15">
      <c r="C1457" s="505">
        <f>IF(D1432="","-",+C1456+1)</f>
        <v>2034</v>
      </c>
      <c r="D1457" s="469">
        <f t="shared" si="91"/>
        <v>0</v>
      </c>
      <c r="E1457" s="511">
        <f t="shared" si="95"/>
        <v>0</v>
      </c>
      <c r="F1457" s="469">
        <f t="shared" si="90"/>
        <v>0</v>
      </c>
      <c r="G1457" s="935">
        <f t="shared" si="92"/>
        <v>0</v>
      </c>
      <c r="H1457" s="938">
        <f t="shared" si="93"/>
        <v>0</v>
      </c>
      <c r="I1457" s="509">
        <f t="shared" si="94"/>
        <v>0</v>
      </c>
      <c r="J1457" s="509"/>
      <c r="K1457" s="640"/>
      <c r="L1457" s="514"/>
      <c r="M1457" s="640"/>
      <c r="N1457" s="514"/>
      <c r="O1457" s="514"/>
    </row>
    <row r="1458" spans="3:15">
      <c r="C1458" s="505">
        <f>IF(D1432="","-",+C1457+1)</f>
        <v>2035</v>
      </c>
      <c r="D1458" s="469">
        <f t="shared" si="91"/>
        <v>0</v>
      </c>
      <c r="E1458" s="511">
        <f t="shared" si="95"/>
        <v>0</v>
      </c>
      <c r="F1458" s="469">
        <f t="shared" si="90"/>
        <v>0</v>
      </c>
      <c r="G1458" s="935">
        <f t="shared" si="92"/>
        <v>0</v>
      </c>
      <c r="H1458" s="938">
        <f t="shared" si="93"/>
        <v>0</v>
      </c>
      <c r="I1458" s="509">
        <f t="shared" si="94"/>
        <v>0</v>
      </c>
      <c r="J1458" s="509"/>
      <c r="K1458" s="640"/>
      <c r="L1458" s="514"/>
      <c r="M1458" s="640"/>
      <c r="N1458" s="514"/>
      <c r="O1458" s="514"/>
    </row>
    <row r="1459" spans="3:15">
      <c r="C1459" s="505">
        <f>IF(D1432="","-",+C1458+1)</f>
        <v>2036</v>
      </c>
      <c r="D1459" s="469">
        <f t="shared" si="91"/>
        <v>0</v>
      </c>
      <c r="E1459" s="511">
        <f t="shared" si="95"/>
        <v>0</v>
      </c>
      <c r="F1459" s="469">
        <f t="shared" si="90"/>
        <v>0</v>
      </c>
      <c r="G1459" s="935">
        <f t="shared" si="92"/>
        <v>0</v>
      </c>
      <c r="H1459" s="938">
        <f t="shared" si="93"/>
        <v>0</v>
      </c>
      <c r="I1459" s="509">
        <f t="shared" si="94"/>
        <v>0</v>
      </c>
      <c r="J1459" s="509"/>
      <c r="K1459" s="640"/>
      <c r="L1459" s="514"/>
      <c r="M1459" s="640"/>
      <c r="N1459" s="514"/>
      <c r="O1459" s="514"/>
    </row>
    <row r="1460" spans="3:15">
      <c r="C1460" s="505">
        <f>IF(D1432="","-",+C1459+1)</f>
        <v>2037</v>
      </c>
      <c r="D1460" s="469">
        <f t="shared" si="91"/>
        <v>0</v>
      </c>
      <c r="E1460" s="511">
        <f t="shared" si="95"/>
        <v>0</v>
      </c>
      <c r="F1460" s="469">
        <f t="shared" si="90"/>
        <v>0</v>
      </c>
      <c r="G1460" s="935">
        <f t="shared" si="92"/>
        <v>0</v>
      </c>
      <c r="H1460" s="938">
        <f t="shared" si="93"/>
        <v>0</v>
      </c>
      <c r="I1460" s="509">
        <f t="shared" si="94"/>
        <v>0</v>
      </c>
      <c r="J1460" s="509"/>
      <c r="K1460" s="640"/>
      <c r="L1460" s="514"/>
      <c r="M1460" s="640"/>
      <c r="N1460" s="514"/>
      <c r="O1460" s="514"/>
    </row>
    <row r="1461" spans="3:15">
      <c r="C1461" s="505">
        <f>IF(D1432="","-",+C1460+1)</f>
        <v>2038</v>
      </c>
      <c r="D1461" s="469">
        <f t="shared" si="91"/>
        <v>0</v>
      </c>
      <c r="E1461" s="511">
        <f t="shared" si="95"/>
        <v>0</v>
      </c>
      <c r="F1461" s="469">
        <f t="shared" si="90"/>
        <v>0</v>
      </c>
      <c r="G1461" s="935">
        <f t="shared" si="92"/>
        <v>0</v>
      </c>
      <c r="H1461" s="938">
        <f t="shared" si="93"/>
        <v>0</v>
      </c>
      <c r="I1461" s="509">
        <f t="shared" si="94"/>
        <v>0</v>
      </c>
      <c r="J1461" s="509"/>
      <c r="K1461" s="640"/>
      <c r="L1461" s="514"/>
      <c r="M1461" s="640"/>
      <c r="N1461" s="514"/>
      <c r="O1461" s="514"/>
    </row>
    <row r="1462" spans="3:15">
      <c r="C1462" s="505">
        <f>IF(D1432="","-",+C1461+1)</f>
        <v>2039</v>
      </c>
      <c r="D1462" s="469">
        <f t="shared" si="91"/>
        <v>0</v>
      </c>
      <c r="E1462" s="511">
        <f t="shared" si="95"/>
        <v>0</v>
      </c>
      <c r="F1462" s="469">
        <f t="shared" si="90"/>
        <v>0</v>
      </c>
      <c r="G1462" s="935">
        <f t="shared" si="92"/>
        <v>0</v>
      </c>
      <c r="H1462" s="938">
        <f t="shared" si="93"/>
        <v>0</v>
      </c>
      <c r="I1462" s="509">
        <f t="shared" si="94"/>
        <v>0</v>
      </c>
      <c r="J1462" s="509"/>
      <c r="K1462" s="640"/>
      <c r="L1462" s="514"/>
      <c r="M1462" s="640"/>
      <c r="N1462" s="514"/>
      <c r="O1462" s="514"/>
    </row>
    <row r="1463" spans="3:15">
      <c r="C1463" s="505">
        <f>IF(D1432="","-",+C1462+1)</f>
        <v>2040</v>
      </c>
      <c r="D1463" s="469">
        <f t="shared" si="91"/>
        <v>0</v>
      </c>
      <c r="E1463" s="511">
        <f t="shared" si="95"/>
        <v>0</v>
      </c>
      <c r="F1463" s="469">
        <f t="shared" si="90"/>
        <v>0</v>
      </c>
      <c r="G1463" s="935">
        <f t="shared" si="92"/>
        <v>0</v>
      </c>
      <c r="H1463" s="938">
        <f t="shared" si="93"/>
        <v>0</v>
      </c>
      <c r="I1463" s="509">
        <f t="shared" si="94"/>
        <v>0</v>
      </c>
      <c r="J1463" s="509"/>
      <c r="K1463" s="640"/>
      <c r="L1463" s="514"/>
      <c r="M1463" s="640"/>
      <c r="N1463" s="514"/>
      <c r="O1463" s="514"/>
    </row>
    <row r="1464" spans="3:15">
      <c r="C1464" s="505">
        <f>IF(D1432="","-",+C1463+1)</f>
        <v>2041</v>
      </c>
      <c r="D1464" s="469">
        <f t="shared" si="91"/>
        <v>0</v>
      </c>
      <c r="E1464" s="511">
        <f t="shared" si="95"/>
        <v>0</v>
      </c>
      <c r="F1464" s="469">
        <f t="shared" si="90"/>
        <v>0</v>
      </c>
      <c r="G1464" s="935">
        <f t="shared" si="92"/>
        <v>0</v>
      </c>
      <c r="H1464" s="938">
        <f t="shared" si="93"/>
        <v>0</v>
      </c>
      <c r="I1464" s="509">
        <f t="shared" si="94"/>
        <v>0</v>
      </c>
      <c r="J1464" s="509"/>
      <c r="K1464" s="640"/>
      <c r="L1464" s="514"/>
      <c r="M1464" s="640"/>
      <c r="N1464" s="514"/>
      <c r="O1464" s="514"/>
    </row>
    <row r="1465" spans="3:15">
      <c r="C1465" s="505">
        <f>IF(D1432="","-",+C1464+1)</f>
        <v>2042</v>
      </c>
      <c r="D1465" s="469">
        <f t="shared" si="91"/>
        <v>0</v>
      </c>
      <c r="E1465" s="511">
        <f t="shared" si="95"/>
        <v>0</v>
      </c>
      <c r="F1465" s="469">
        <f t="shared" si="90"/>
        <v>0</v>
      </c>
      <c r="G1465" s="935">
        <f t="shared" si="92"/>
        <v>0</v>
      </c>
      <c r="H1465" s="938">
        <f t="shared" si="93"/>
        <v>0</v>
      </c>
      <c r="I1465" s="509">
        <f t="shared" si="94"/>
        <v>0</v>
      </c>
      <c r="J1465" s="509"/>
      <c r="K1465" s="640"/>
      <c r="L1465" s="514"/>
      <c r="M1465" s="640"/>
      <c r="N1465" s="514"/>
      <c r="O1465" s="514"/>
    </row>
    <row r="1466" spans="3:15">
      <c r="C1466" s="505">
        <f>IF(D1432="","-",+C1465+1)</f>
        <v>2043</v>
      </c>
      <c r="D1466" s="469">
        <f t="shared" si="91"/>
        <v>0</v>
      </c>
      <c r="E1466" s="511">
        <f t="shared" si="95"/>
        <v>0</v>
      </c>
      <c r="F1466" s="469">
        <f t="shared" si="90"/>
        <v>0</v>
      </c>
      <c r="G1466" s="936">
        <f t="shared" si="92"/>
        <v>0</v>
      </c>
      <c r="H1466" s="938">
        <f t="shared" si="93"/>
        <v>0</v>
      </c>
      <c r="I1466" s="509">
        <f t="shared" si="94"/>
        <v>0</v>
      </c>
      <c r="J1466" s="509"/>
      <c r="K1466" s="640"/>
      <c r="L1466" s="514"/>
      <c r="M1466" s="640"/>
      <c r="N1466" s="514"/>
      <c r="O1466" s="514"/>
    </row>
    <row r="1467" spans="3:15">
      <c r="C1467" s="505">
        <f>IF(D1432="","-",+C1466+1)</f>
        <v>2044</v>
      </c>
      <c r="D1467" s="469">
        <f t="shared" si="91"/>
        <v>0</v>
      </c>
      <c r="E1467" s="511">
        <f t="shared" si="95"/>
        <v>0</v>
      </c>
      <c r="F1467" s="469">
        <f t="shared" si="90"/>
        <v>0</v>
      </c>
      <c r="G1467" s="935">
        <f t="shared" si="92"/>
        <v>0</v>
      </c>
      <c r="H1467" s="938">
        <f t="shared" si="93"/>
        <v>0</v>
      </c>
      <c r="I1467" s="509">
        <f t="shared" si="94"/>
        <v>0</v>
      </c>
      <c r="J1467" s="509"/>
      <c r="K1467" s="640"/>
      <c r="L1467" s="514"/>
      <c r="M1467" s="640"/>
      <c r="N1467" s="514"/>
      <c r="O1467" s="514"/>
    </row>
    <row r="1468" spans="3:15">
      <c r="C1468" s="505">
        <f>IF(D1432="","-",+C1467+1)</f>
        <v>2045</v>
      </c>
      <c r="D1468" s="469">
        <f t="shared" si="91"/>
        <v>0</v>
      </c>
      <c r="E1468" s="511">
        <f t="shared" si="95"/>
        <v>0</v>
      </c>
      <c r="F1468" s="469">
        <f t="shared" si="90"/>
        <v>0</v>
      </c>
      <c r="G1468" s="935">
        <f t="shared" si="92"/>
        <v>0</v>
      </c>
      <c r="H1468" s="938">
        <f t="shared" si="93"/>
        <v>0</v>
      </c>
      <c r="I1468" s="509">
        <f t="shared" si="94"/>
        <v>0</v>
      </c>
      <c r="J1468" s="509"/>
      <c r="K1468" s="640"/>
      <c r="L1468" s="514"/>
      <c r="M1468" s="640"/>
      <c r="N1468" s="514"/>
      <c r="O1468" s="514"/>
    </row>
    <row r="1469" spans="3:15">
      <c r="C1469" s="505">
        <f>IF(D1432="","-",+C1468+1)</f>
        <v>2046</v>
      </c>
      <c r="D1469" s="469">
        <f t="shared" si="91"/>
        <v>0</v>
      </c>
      <c r="E1469" s="511">
        <f t="shared" si="95"/>
        <v>0</v>
      </c>
      <c r="F1469" s="469">
        <f t="shared" si="90"/>
        <v>0</v>
      </c>
      <c r="G1469" s="935">
        <f t="shared" si="92"/>
        <v>0</v>
      </c>
      <c r="H1469" s="938">
        <f t="shared" si="93"/>
        <v>0</v>
      </c>
      <c r="I1469" s="509">
        <f t="shared" si="94"/>
        <v>0</v>
      </c>
      <c r="J1469" s="509"/>
      <c r="K1469" s="640"/>
      <c r="L1469" s="514"/>
      <c r="M1469" s="640"/>
      <c r="N1469" s="514"/>
      <c r="O1469" s="514"/>
    </row>
    <row r="1470" spans="3:15">
      <c r="C1470" s="505">
        <f>IF(D1432="","-",+C1469+1)</f>
        <v>2047</v>
      </c>
      <c r="D1470" s="469">
        <f t="shared" si="91"/>
        <v>0</v>
      </c>
      <c r="E1470" s="511">
        <f t="shared" si="95"/>
        <v>0</v>
      </c>
      <c r="F1470" s="469">
        <f t="shared" si="90"/>
        <v>0</v>
      </c>
      <c r="G1470" s="935">
        <f t="shared" si="92"/>
        <v>0</v>
      </c>
      <c r="H1470" s="938">
        <f t="shared" si="93"/>
        <v>0</v>
      </c>
      <c r="I1470" s="509">
        <f t="shared" si="94"/>
        <v>0</v>
      </c>
      <c r="J1470" s="509"/>
      <c r="K1470" s="640"/>
      <c r="L1470" s="514"/>
      <c r="M1470" s="640"/>
      <c r="N1470" s="514"/>
      <c r="O1470" s="514"/>
    </row>
    <row r="1471" spans="3:15">
      <c r="C1471" s="505">
        <f>IF(D1432="","-",+C1470+1)</f>
        <v>2048</v>
      </c>
      <c r="D1471" s="469">
        <f t="shared" si="91"/>
        <v>0</v>
      </c>
      <c r="E1471" s="511">
        <f t="shared" si="95"/>
        <v>0</v>
      </c>
      <c r="F1471" s="469">
        <f t="shared" si="90"/>
        <v>0</v>
      </c>
      <c r="G1471" s="935">
        <f t="shared" si="92"/>
        <v>0</v>
      </c>
      <c r="H1471" s="938">
        <f t="shared" si="93"/>
        <v>0</v>
      </c>
      <c r="I1471" s="509">
        <f t="shared" si="94"/>
        <v>0</v>
      </c>
      <c r="J1471" s="509"/>
      <c r="K1471" s="640"/>
      <c r="L1471" s="514"/>
      <c r="M1471" s="640"/>
      <c r="N1471" s="514"/>
      <c r="O1471" s="514"/>
    </row>
    <row r="1472" spans="3:15">
      <c r="C1472" s="505">
        <f>IF(D1432="","-",+C1471+1)</f>
        <v>2049</v>
      </c>
      <c r="D1472" s="469">
        <f t="shared" si="91"/>
        <v>0</v>
      </c>
      <c r="E1472" s="511">
        <f t="shared" si="95"/>
        <v>0</v>
      </c>
      <c r="F1472" s="469">
        <f t="shared" si="90"/>
        <v>0</v>
      </c>
      <c r="G1472" s="935">
        <f t="shared" si="92"/>
        <v>0</v>
      </c>
      <c r="H1472" s="938">
        <f t="shared" si="93"/>
        <v>0</v>
      </c>
      <c r="I1472" s="509">
        <f t="shared" si="94"/>
        <v>0</v>
      </c>
      <c r="J1472" s="509"/>
      <c r="K1472" s="640"/>
      <c r="L1472" s="514"/>
      <c r="M1472" s="640"/>
      <c r="N1472" s="514"/>
      <c r="O1472" s="514"/>
    </row>
    <row r="1473" spans="3:15">
      <c r="C1473" s="505">
        <f>IF(D1432="","-",+C1472+1)</f>
        <v>2050</v>
      </c>
      <c r="D1473" s="469">
        <f t="shared" si="91"/>
        <v>0</v>
      </c>
      <c r="E1473" s="511">
        <f t="shared" si="95"/>
        <v>0</v>
      </c>
      <c r="F1473" s="469">
        <f t="shared" si="90"/>
        <v>0</v>
      </c>
      <c r="G1473" s="935">
        <f t="shared" si="92"/>
        <v>0</v>
      </c>
      <c r="H1473" s="938">
        <f t="shared" si="93"/>
        <v>0</v>
      </c>
      <c r="I1473" s="509">
        <f t="shared" si="94"/>
        <v>0</v>
      </c>
      <c r="J1473" s="509"/>
      <c r="K1473" s="640"/>
      <c r="L1473" s="514"/>
      <c r="M1473" s="640"/>
      <c r="N1473" s="514"/>
      <c r="O1473" s="514"/>
    </row>
    <row r="1474" spans="3:15">
      <c r="C1474" s="505">
        <f>IF(D1432="","-",+C1473+1)</f>
        <v>2051</v>
      </c>
      <c r="D1474" s="469">
        <f t="shared" si="91"/>
        <v>0</v>
      </c>
      <c r="E1474" s="511">
        <f t="shared" si="95"/>
        <v>0</v>
      </c>
      <c r="F1474" s="469">
        <f t="shared" si="90"/>
        <v>0</v>
      </c>
      <c r="G1474" s="935">
        <f t="shared" si="92"/>
        <v>0</v>
      </c>
      <c r="H1474" s="938">
        <f t="shared" si="93"/>
        <v>0</v>
      </c>
      <c r="I1474" s="509">
        <f t="shared" si="94"/>
        <v>0</v>
      </c>
      <c r="J1474" s="509"/>
      <c r="K1474" s="640"/>
      <c r="L1474" s="514"/>
      <c r="M1474" s="640"/>
      <c r="N1474" s="514"/>
      <c r="O1474" s="514"/>
    </row>
    <row r="1475" spans="3:15">
      <c r="C1475" s="505">
        <f>IF(D1432="","-",+C1474+1)</f>
        <v>2052</v>
      </c>
      <c r="D1475" s="469">
        <f t="shared" si="91"/>
        <v>0</v>
      </c>
      <c r="E1475" s="511">
        <f t="shared" si="95"/>
        <v>0</v>
      </c>
      <c r="F1475" s="469">
        <f t="shared" si="90"/>
        <v>0</v>
      </c>
      <c r="G1475" s="935">
        <f t="shared" si="92"/>
        <v>0</v>
      </c>
      <c r="H1475" s="938">
        <f t="shared" si="93"/>
        <v>0</v>
      </c>
      <c r="I1475" s="509">
        <f t="shared" si="94"/>
        <v>0</v>
      </c>
      <c r="J1475" s="509"/>
      <c r="K1475" s="640"/>
      <c r="L1475" s="514"/>
      <c r="M1475" s="640"/>
      <c r="N1475" s="514"/>
      <c r="O1475" s="514"/>
    </row>
    <row r="1476" spans="3:15">
      <c r="C1476" s="505">
        <f>IF(D1432="","-",+C1475+1)</f>
        <v>2053</v>
      </c>
      <c r="D1476" s="469">
        <f t="shared" si="91"/>
        <v>0</v>
      </c>
      <c r="E1476" s="511">
        <f t="shared" si="95"/>
        <v>0</v>
      </c>
      <c r="F1476" s="469">
        <f t="shared" si="90"/>
        <v>0</v>
      </c>
      <c r="G1476" s="935">
        <f t="shared" si="92"/>
        <v>0</v>
      </c>
      <c r="H1476" s="938">
        <f t="shared" si="93"/>
        <v>0</v>
      </c>
      <c r="I1476" s="509">
        <f t="shared" si="94"/>
        <v>0</v>
      </c>
      <c r="J1476" s="509"/>
      <c r="K1476" s="640"/>
      <c r="L1476" s="514"/>
      <c r="M1476" s="640"/>
      <c r="N1476" s="514"/>
      <c r="O1476" s="514"/>
    </row>
    <row r="1477" spans="3:15">
      <c r="C1477" s="505">
        <f>IF(D1432="","-",+C1476+1)</f>
        <v>2054</v>
      </c>
      <c r="D1477" s="469">
        <f t="shared" si="91"/>
        <v>0</v>
      </c>
      <c r="E1477" s="511">
        <f t="shared" si="95"/>
        <v>0</v>
      </c>
      <c r="F1477" s="469">
        <f t="shared" si="90"/>
        <v>0</v>
      </c>
      <c r="G1477" s="935">
        <f t="shared" si="92"/>
        <v>0</v>
      </c>
      <c r="H1477" s="938">
        <f t="shared" si="93"/>
        <v>0</v>
      </c>
      <c r="I1477" s="509">
        <f t="shared" si="94"/>
        <v>0</v>
      </c>
      <c r="J1477" s="509"/>
      <c r="K1477" s="640"/>
      <c r="L1477" s="514"/>
      <c r="M1477" s="640"/>
      <c r="N1477" s="514"/>
      <c r="O1477" s="514"/>
    </row>
    <row r="1478" spans="3:15">
      <c r="C1478" s="505">
        <f>IF(D1432="","-",+C1477+1)</f>
        <v>2055</v>
      </c>
      <c r="D1478" s="469">
        <f t="shared" si="91"/>
        <v>0</v>
      </c>
      <c r="E1478" s="511">
        <f t="shared" si="95"/>
        <v>0</v>
      </c>
      <c r="F1478" s="469">
        <f t="shared" si="90"/>
        <v>0</v>
      </c>
      <c r="G1478" s="935">
        <f t="shared" si="92"/>
        <v>0</v>
      </c>
      <c r="H1478" s="938">
        <f t="shared" si="93"/>
        <v>0</v>
      </c>
      <c r="I1478" s="509">
        <f t="shared" si="94"/>
        <v>0</v>
      </c>
      <c r="J1478" s="509"/>
      <c r="K1478" s="640"/>
      <c r="L1478" s="514"/>
      <c r="M1478" s="640"/>
      <c r="N1478" s="514"/>
      <c r="O1478" s="514"/>
    </row>
    <row r="1479" spans="3:15">
      <c r="C1479" s="505">
        <f>IF(D1432="","-",+C1478+1)</f>
        <v>2056</v>
      </c>
      <c r="D1479" s="469">
        <f t="shared" si="91"/>
        <v>0</v>
      </c>
      <c r="E1479" s="511">
        <f t="shared" si="95"/>
        <v>0</v>
      </c>
      <c r="F1479" s="469">
        <f t="shared" si="90"/>
        <v>0</v>
      </c>
      <c r="G1479" s="935">
        <f t="shared" si="92"/>
        <v>0</v>
      </c>
      <c r="H1479" s="938">
        <f t="shared" si="93"/>
        <v>0</v>
      </c>
      <c r="I1479" s="509">
        <f t="shared" si="94"/>
        <v>0</v>
      </c>
      <c r="J1479" s="509"/>
      <c r="K1479" s="640"/>
      <c r="L1479" s="514"/>
      <c r="M1479" s="640"/>
      <c r="N1479" s="514"/>
      <c r="O1479" s="514"/>
    </row>
    <row r="1480" spans="3:15">
      <c r="C1480" s="505">
        <f>IF(D1432="","-",+C1479+1)</f>
        <v>2057</v>
      </c>
      <c r="D1480" s="469">
        <f t="shared" si="91"/>
        <v>0</v>
      </c>
      <c r="E1480" s="511">
        <f t="shared" si="95"/>
        <v>0</v>
      </c>
      <c r="F1480" s="469">
        <f t="shared" si="90"/>
        <v>0</v>
      </c>
      <c r="G1480" s="935">
        <f t="shared" si="92"/>
        <v>0</v>
      </c>
      <c r="H1480" s="938">
        <f t="shared" si="93"/>
        <v>0</v>
      </c>
      <c r="I1480" s="509">
        <f t="shared" si="94"/>
        <v>0</v>
      </c>
      <c r="J1480" s="509"/>
      <c r="K1480" s="640"/>
      <c r="L1480" s="514"/>
      <c r="M1480" s="640"/>
      <c r="N1480" s="514"/>
      <c r="O1480" s="514"/>
    </row>
    <row r="1481" spans="3:15">
      <c r="C1481" s="505">
        <f>IF(D1432="","-",+C1480+1)</f>
        <v>2058</v>
      </c>
      <c r="D1481" s="469">
        <f t="shared" si="91"/>
        <v>0</v>
      </c>
      <c r="E1481" s="511">
        <f t="shared" si="95"/>
        <v>0</v>
      </c>
      <c r="F1481" s="469">
        <f t="shared" si="90"/>
        <v>0</v>
      </c>
      <c r="G1481" s="935">
        <f t="shared" si="92"/>
        <v>0</v>
      </c>
      <c r="H1481" s="938">
        <f t="shared" si="93"/>
        <v>0</v>
      </c>
      <c r="I1481" s="509">
        <f t="shared" si="94"/>
        <v>0</v>
      </c>
      <c r="J1481" s="509"/>
      <c r="K1481" s="640"/>
      <c r="L1481" s="514"/>
      <c r="M1481" s="640"/>
      <c r="N1481" s="514"/>
      <c r="O1481" s="514"/>
    </row>
    <row r="1482" spans="3:15">
      <c r="C1482" s="505">
        <f>IF(D1432="","-",+C1481+1)</f>
        <v>2059</v>
      </c>
      <c r="D1482" s="469">
        <f t="shared" si="91"/>
        <v>0</v>
      </c>
      <c r="E1482" s="511">
        <f t="shared" si="95"/>
        <v>0</v>
      </c>
      <c r="F1482" s="469">
        <f t="shared" si="90"/>
        <v>0</v>
      </c>
      <c r="G1482" s="935">
        <f t="shared" si="92"/>
        <v>0</v>
      </c>
      <c r="H1482" s="938">
        <f t="shared" si="93"/>
        <v>0</v>
      </c>
      <c r="I1482" s="509">
        <f t="shared" si="94"/>
        <v>0</v>
      </c>
      <c r="J1482" s="509"/>
      <c r="K1482" s="640"/>
      <c r="L1482" s="514"/>
      <c r="M1482" s="640"/>
      <c r="N1482" s="514"/>
      <c r="O1482" s="514"/>
    </row>
    <row r="1483" spans="3:15">
      <c r="C1483" s="505">
        <f>IF(D1432="","-",+C1482+1)</f>
        <v>2060</v>
      </c>
      <c r="D1483" s="469">
        <f t="shared" si="91"/>
        <v>0</v>
      </c>
      <c r="E1483" s="511">
        <f t="shared" si="95"/>
        <v>0</v>
      </c>
      <c r="F1483" s="469">
        <f t="shared" si="90"/>
        <v>0</v>
      </c>
      <c r="G1483" s="935">
        <f t="shared" si="92"/>
        <v>0</v>
      </c>
      <c r="H1483" s="938">
        <f t="shared" si="93"/>
        <v>0</v>
      </c>
      <c r="I1483" s="509">
        <f t="shared" si="94"/>
        <v>0</v>
      </c>
      <c r="J1483" s="509"/>
      <c r="K1483" s="640"/>
      <c r="L1483" s="514"/>
      <c r="M1483" s="640"/>
      <c r="N1483" s="514"/>
      <c r="O1483" s="514"/>
    </row>
    <row r="1484" spans="3:15">
      <c r="C1484" s="505">
        <f>IF(D1432="","-",+C1483+1)</f>
        <v>2061</v>
      </c>
      <c r="D1484" s="469">
        <f t="shared" si="91"/>
        <v>0</v>
      </c>
      <c r="E1484" s="511">
        <f t="shared" si="95"/>
        <v>0</v>
      </c>
      <c r="F1484" s="469">
        <f t="shared" si="90"/>
        <v>0</v>
      </c>
      <c r="G1484" s="935">
        <f t="shared" si="92"/>
        <v>0</v>
      </c>
      <c r="H1484" s="938">
        <f t="shared" si="93"/>
        <v>0</v>
      </c>
      <c r="I1484" s="509">
        <f t="shared" si="94"/>
        <v>0</v>
      </c>
      <c r="J1484" s="509"/>
      <c r="K1484" s="640"/>
      <c r="L1484" s="514"/>
      <c r="M1484" s="640"/>
      <c r="N1484" s="514"/>
      <c r="O1484" s="514"/>
    </row>
    <row r="1485" spans="3:15">
      <c r="C1485" s="505">
        <f>IF(D1432="","-",+C1484+1)</f>
        <v>2062</v>
      </c>
      <c r="D1485" s="469">
        <f t="shared" si="91"/>
        <v>0</v>
      </c>
      <c r="E1485" s="511">
        <f t="shared" si="95"/>
        <v>0</v>
      </c>
      <c r="F1485" s="469">
        <f t="shared" si="90"/>
        <v>0</v>
      </c>
      <c r="G1485" s="935">
        <f t="shared" si="92"/>
        <v>0</v>
      </c>
      <c r="H1485" s="938">
        <f t="shared" si="93"/>
        <v>0</v>
      </c>
      <c r="I1485" s="509">
        <f t="shared" si="94"/>
        <v>0</v>
      </c>
      <c r="J1485" s="509"/>
      <c r="K1485" s="640"/>
      <c r="L1485" s="514"/>
      <c r="M1485" s="640"/>
      <c r="N1485" s="514"/>
      <c r="O1485" s="514"/>
    </row>
    <row r="1486" spans="3:15">
      <c r="C1486" s="505">
        <f>IF(D1432="","-",+C1485+1)</f>
        <v>2063</v>
      </c>
      <c r="D1486" s="469">
        <f t="shared" si="91"/>
        <v>0</v>
      </c>
      <c r="E1486" s="511">
        <f t="shared" si="95"/>
        <v>0</v>
      </c>
      <c r="F1486" s="469">
        <f t="shared" si="90"/>
        <v>0</v>
      </c>
      <c r="G1486" s="935">
        <f t="shared" si="92"/>
        <v>0</v>
      </c>
      <c r="H1486" s="938">
        <f t="shared" si="93"/>
        <v>0</v>
      </c>
      <c r="I1486" s="509">
        <f t="shared" si="94"/>
        <v>0</v>
      </c>
      <c r="J1486" s="509"/>
      <c r="K1486" s="640"/>
      <c r="L1486" s="514"/>
      <c r="M1486" s="640"/>
      <c r="N1486" s="514"/>
      <c r="O1486" s="514"/>
    </row>
    <row r="1487" spans="3:15">
      <c r="C1487" s="505">
        <f>IF(D1432="","-",+C1486+1)</f>
        <v>2064</v>
      </c>
      <c r="D1487" s="469">
        <f t="shared" si="91"/>
        <v>0</v>
      </c>
      <c r="E1487" s="511">
        <f t="shared" si="95"/>
        <v>0</v>
      </c>
      <c r="F1487" s="469">
        <f t="shared" si="90"/>
        <v>0</v>
      </c>
      <c r="G1487" s="935">
        <f t="shared" si="92"/>
        <v>0</v>
      </c>
      <c r="H1487" s="938">
        <f t="shared" si="93"/>
        <v>0</v>
      </c>
      <c r="I1487" s="509">
        <f t="shared" si="94"/>
        <v>0</v>
      </c>
      <c r="J1487" s="509"/>
      <c r="K1487" s="640"/>
      <c r="L1487" s="514"/>
      <c r="M1487" s="640"/>
      <c r="N1487" s="514"/>
      <c r="O1487" s="514"/>
    </row>
    <row r="1488" spans="3:15">
      <c r="C1488" s="505">
        <f>IF(D1432="","-",+C1487+1)</f>
        <v>2065</v>
      </c>
      <c r="D1488" s="469">
        <f t="shared" si="91"/>
        <v>0</v>
      </c>
      <c r="E1488" s="511">
        <f t="shared" si="95"/>
        <v>0</v>
      </c>
      <c r="F1488" s="469">
        <f t="shared" si="90"/>
        <v>0</v>
      </c>
      <c r="G1488" s="935">
        <f t="shared" si="92"/>
        <v>0</v>
      </c>
      <c r="H1488" s="938">
        <f t="shared" si="93"/>
        <v>0</v>
      </c>
      <c r="I1488" s="509">
        <f t="shared" si="94"/>
        <v>0</v>
      </c>
      <c r="J1488" s="509"/>
      <c r="K1488" s="640"/>
      <c r="L1488" s="514"/>
      <c r="M1488" s="640"/>
      <c r="N1488" s="514"/>
      <c r="O1488" s="514"/>
    </row>
    <row r="1489" spans="3:15">
      <c r="C1489" s="505">
        <f>IF(D1432="","-",+C1488+1)</f>
        <v>2066</v>
      </c>
      <c r="D1489" s="469">
        <f t="shared" si="91"/>
        <v>0</v>
      </c>
      <c r="E1489" s="511">
        <f t="shared" si="95"/>
        <v>0</v>
      </c>
      <c r="F1489" s="469">
        <f t="shared" si="90"/>
        <v>0</v>
      </c>
      <c r="G1489" s="935">
        <f t="shared" si="92"/>
        <v>0</v>
      </c>
      <c r="H1489" s="938">
        <f t="shared" si="93"/>
        <v>0</v>
      </c>
      <c r="I1489" s="509">
        <f t="shared" si="94"/>
        <v>0</v>
      </c>
      <c r="J1489" s="509"/>
      <c r="K1489" s="640"/>
      <c r="L1489" s="514"/>
      <c r="M1489" s="640"/>
      <c r="N1489" s="514"/>
      <c r="O1489" s="514"/>
    </row>
    <row r="1490" spans="3:15">
      <c r="C1490" s="505">
        <f>IF(D1432="","-",+C1489+1)</f>
        <v>2067</v>
      </c>
      <c r="D1490" s="469">
        <f t="shared" si="91"/>
        <v>0</v>
      </c>
      <c r="E1490" s="511">
        <f t="shared" si="95"/>
        <v>0</v>
      </c>
      <c r="F1490" s="469">
        <f t="shared" si="90"/>
        <v>0</v>
      </c>
      <c r="G1490" s="935">
        <f t="shared" si="92"/>
        <v>0</v>
      </c>
      <c r="H1490" s="938">
        <f t="shared" si="93"/>
        <v>0</v>
      </c>
      <c r="I1490" s="509">
        <f t="shared" si="94"/>
        <v>0</v>
      </c>
      <c r="J1490" s="509"/>
      <c r="K1490" s="640"/>
      <c r="L1490" s="514"/>
      <c r="M1490" s="640"/>
      <c r="N1490" s="514"/>
      <c r="O1490" s="514"/>
    </row>
    <row r="1491" spans="3:15">
      <c r="C1491" s="505">
        <f>IF(D1432="","-",+C1490+1)</f>
        <v>2068</v>
      </c>
      <c r="D1491" s="469">
        <f t="shared" si="91"/>
        <v>0</v>
      </c>
      <c r="E1491" s="511">
        <f t="shared" si="95"/>
        <v>0</v>
      </c>
      <c r="F1491" s="469">
        <f t="shared" si="90"/>
        <v>0</v>
      </c>
      <c r="G1491" s="935">
        <f t="shared" si="92"/>
        <v>0</v>
      </c>
      <c r="H1491" s="938">
        <f t="shared" si="93"/>
        <v>0</v>
      </c>
      <c r="I1491" s="509">
        <f t="shared" si="94"/>
        <v>0</v>
      </c>
      <c r="J1491" s="509"/>
      <c r="K1491" s="640"/>
      <c r="L1491" s="514"/>
      <c r="M1491" s="640"/>
      <c r="N1491" s="514"/>
      <c r="O1491" s="514"/>
    </row>
    <row r="1492" spans="3:15">
      <c r="C1492" s="505">
        <f>IF(D1432="","-",+C1491+1)</f>
        <v>2069</v>
      </c>
      <c r="D1492" s="469">
        <f t="shared" si="91"/>
        <v>0</v>
      </c>
      <c r="E1492" s="511">
        <f t="shared" si="95"/>
        <v>0</v>
      </c>
      <c r="F1492" s="469">
        <f t="shared" si="90"/>
        <v>0</v>
      </c>
      <c r="G1492" s="935">
        <f t="shared" si="92"/>
        <v>0</v>
      </c>
      <c r="H1492" s="938">
        <f t="shared" si="93"/>
        <v>0</v>
      </c>
      <c r="I1492" s="509">
        <f t="shared" si="94"/>
        <v>0</v>
      </c>
      <c r="J1492" s="509"/>
      <c r="K1492" s="640"/>
      <c r="L1492" s="514"/>
      <c r="M1492" s="640"/>
      <c r="N1492" s="514"/>
      <c r="O1492" s="514"/>
    </row>
    <row r="1493" spans="3:15">
      <c r="C1493" s="505">
        <f>IF(D1432="","-",+C1492+1)</f>
        <v>2070</v>
      </c>
      <c r="D1493" s="469">
        <f t="shared" si="91"/>
        <v>0</v>
      </c>
      <c r="E1493" s="511">
        <f t="shared" si="95"/>
        <v>0</v>
      </c>
      <c r="F1493" s="469">
        <f t="shared" si="90"/>
        <v>0</v>
      </c>
      <c r="G1493" s="935">
        <f t="shared" si="92"/>
        <v>0</v>
      </c>
      <c r="H1493" s="938">
        <f t="shared" si="93"/>
        <v>0</v>
      </c>
      <c r="I1493" s="509">
        <f t="shared" si="94"/>
        <v>0</v>
      </c>
      <c r="J1493" s="509"/>
      <c r="K1493" s="640"/>
      <c r="L1493" s="514"/>
      <c r="M1493" s="640"/>
      <c r="N1493" s="514"/>
      <c r="O1493" s="514"/>
    </row>
    <row r="1494" spans="3:15">
      <c r="C1494" s="505">
        <f>IF(D1432="","-",+C1493+1)</f>
        <v>2071</v>
      </c>
      <c r="D1494" s="469">
        <f t="shared" si="91"/>
        <v>0</v>
      </c>
      <c r="E1494" s="511">
        <f t="shared" si="95"/>
        <v>0</v>
      </c>
      <c r="F1494" s="469">
        <f t="shared" si="90"/>
        <v>0</v>
      </c>
      <c r="G1494" s="935">
        <f t="shared" si="92"/>
        <v>0</v>
      </c>
      <c r="H1494" s="938">
        <f t="shared" si="93"/>
        <v>0</v>
      </c>
      <c r="I1494" s="509">
        <f t="shared" si="94"/>
        <v>0</v>
      </c>
      <c r="J1494" s="509"/>
      <c r="K1494" s="640"/>
      <c r="L1494" s="514"/>
      <c r="M1494" s="640"/>
      <c r="N1494" s="514"/>
      <c r="O1494" s="514"/>
    </row>
    <row r="1495" spans="3:15">
      <c r="C1495" s="505">
        <f>IF(D1432="","-",+C1494+1)</f>
        <v>2072</v>
      </c>
      <c r="D1495" s="469">
        <f t="shared" si="91"/>
        <v>0</v>
      </c>
      <c r="E1495" s="511">
        <f t="shared" si="95"/>
        <v>0</v>
      </c>
      <c r="F1495" s="469">
        <f t="shared" si="90"/>
        <v>0</v>
      </c>
      <c r="G1495" s="935">
        <f t="shared" si="92"/>
        <v>0</v>
      </c>
      <c r="H1495" s="938">
        <f t="shared" si="93"/>
        <v>0</v>
      </c>
      <c r="I1495" s="509">
        <f t="shared" si="94"/>
        <v>0</v>
      </c>
      <c r="J1495" s="509"/>
      <c r="K1495" s="640"/>
      <c r="L1495" s="514"/>
      <c r="M1495" s="640"/>
      <c r="N1495" s="514"/>
      <c r="O1495" s="514"/>
    </row>
    <row r="1496" spans="3:15">
      <c r="C1496" s="505">
        <f>IF(D1432="","-",+C1495+1)</f>
        <v>2073</v>
      </c>
      <c r="D1496" s="469">
        <f t="shared" si="91"/>
        <v>0</v>
      </c>
      <c r="E1496" s="511">
        <f t="shared" si="95"/>
        <v>0</v>
      </c>
      <c r="F1496" s="469">
        <f t="shared" si="90"/>
        <v>0</v>
      </c>
      <c r="G1496" s="935">
        <f t="shared" si="92"/>
        <v>0</v>
      </c>
      <c r="H1496" s="938">
        <f t="shared" si="93"/>
        <v>0</v>
      </c>
      <c r="I1496" s="509">
        <f t="shared" si="94"/>
        <v>0</v>
      </c>
      <c r="J1496" s="509"/>
      <c r="K1496" s="640"/>
      <c r="L1496" s="514"/>
      <c r="M1496" s="640"/>
      <c r="N1496" s="514"/>
      <c r="O1496" s="514"/>
    </row>
    <row r="1497" spans="3:15" ht="13.5" thickBot="1">
      <c r="C1497" s="515">
        <f>IF(D1432="","-",+C1496+1)</f>
        <v>2074</v>
      </c>
      <c r="D1497" s="516">
        <f t="shared" si="91"/>
        <v>0</v>
      </c>
      <c r="E1497" s="517">
        <f t="shared" si="95"/>
        <v>0</v>
      </c>
      <c r="F1497" s="516">
        <f t="shared" si="90"/>
        <v>0</v>
      </c>
      <c r="G1497" s="946">
        <f t="shared" si="92"/>
        <v>0</v>
      </c>
      <c r="H1497" s="946">
        <f t="shared" si="93"/>
        <v>0</v>
      </c>
      <c r="I1497" s="519">
        <f t="shared" si="94"/>
        <v>0</v>
      </c>
      <c r="J1497" s="509"/>
      <c r="K1497" s="641"/>
      <c r="L1497" s="521"/>
      <c r="M1497" s="641"/>
      <c r="N1497" s="521"/>
      <c r="O1497" s="521"/>
    </row>
    <row r="1498" spans="3:15">
      <c r="C1498" s="469" t="s">
        <v>288</v>
      </c>
      <c r="D1498" s="915"/>
      <c r="E1498" s="469"/>
      <c r="F1498" s="915"/>
      <c r="G1498" s="915">
        <f>SUM(G1438:G1497)</f>
        <v>0</v>
      </c>
      <c r="H1498" s="915">
        <f>SUM(H1438:H1497)</f>
        <v>0</v>
      </c>
      <c r="I1498" s="915">
        <f>SUM(I1438:I1497)</f>
        <v>0</v>
      </c>
      <c r="J1498" s="915"/>
      <c r="K1498" s="915"/>
      <c r="L1498" s="915"/>
      <c r="M1498" s="915"/>
      <c r="N1498" s="915"/>
      <c r="O1498" s="4"/>
    </row>
    <row r="1499" spans="3:15">
      <c r="D1499" s="79"/>
      <c r="E1499" s="4"/>
      <c r="F1499" s="4"/>
      <c r="G1499" s="4"/>
      <c r="H1499" s="914"/>
      <c r="I1499" s="914"/>
      <c r="J1499" s="915"/>
      <c r="K1499" s="914"/>
      <c r="L1499" s="914"/>
      <c r="M1499" s="914"/>
      <c r="N1499" s="914"/>
      <c r="O1499" s="4"/>
    </row>
    <row r="1500" spans="3:15">
      <c r="C1500" s="4" t="s">
        <v>595</v>
      </c>
      <c r="D1500" s="79"/>
      <c r="E1500" s="4"/>
      <c r="F1500" s="4"/>
      <c r="G1500" s="4"/>
      <c r="H1500" s="914"/>
      <c r="I1500" s="914"/>
      <c r="J1500" s="915"/>
      <c r="K1500" s="914"/>
      <c r="L1500" s="914"/>
      <c r="M1500" s="914"/>
      <c r="N1500" s="914"/>
      <c r="O1500" s="4"/>
    </row>
    <row r="1501" spans="3:15">
      <c r="C1501" s="4"/>
      <c r="D1501" s="79"/>
      <c r="E1501" s="4"/>
      <c r="F1501" s="4"/>
      <c r="G1501" s="4"/>
      <c r="H1501" s="914"/>
      <c r="I1501" s="914"/>
      <c r="J1501" s="915"/>
      <c r="K1501" s="914"/>
      <c r="L1501" s="914"/>
      <c r="M1501" s="914"/>
      <c r="N1501" s="914"/>
      <c r="O1501" s="4"/>
    </row>
    <row r="1502" spans="3:15">
      <c r="C1502" s="479" t="s">
        <v>924</v>
      </c>
      <c r="D1502" s="469"/>
      <c r="E1502" s="469"/>
      <c r="F1502" s="469"/>
      <c r="G1502" s="915"/>
      <c r="H1502" s="915"/>
      <c r="I1502" s="471"/>
      <c r="J1502" s="471"/>
      <c r="K1502" s="471"/>
      <c r="L1502" s="471"/>
      <c r="M1502" s="471"/>
      <c r="N1502" s="471"/>
      <c r="O1502" s="4"/>
    </row>
    <row r="1503" spans="3:15">
      <c r="C1503" s="479" t="s">
        <v>476</v>
      </c>
      <c r="D1503" s="469"/>
      <c r="E1503" s="469"/>
      <c r="F1503" s="469"/>
      <c r="G1503" s="915"/>
      <c r="H1503" s="915"/>
      <c r="I1503" s="471"/>
      <c r="J1503" s="471"/>
      <c r="K1503" s="471"/>
      <c r="L1503" s="471"/>
      <c r="M1503" s="471"/>
      <c r="N1503" s="471"/>
      <c r="O1503" s="4"/>
    </row>
    <row r="1504" spans="3:15">
      <c r="C1504" s="470" t="s">
        <v>289</v>
      </c>
      <c r="D1504" s="469"/>
      <c r="E1504" s="469"/>
      <c r="F1504" s="469"/>
      <c r="G1504" s="915"/>
      <c r="H1504" s="915"/>
      <c r="I1504" s="471"/>
      <c r="J1504" s="471"/>
      <c r="K1504" s="471"/>
      <c r="L1504" s="471"/>
      <c r="M1504" s="471"/>
      <c r="N1504" s="471"/>
      <c r="O1504" s="4"/>
    </row>
    <row r="1505" spans="1:16">
      <c r="C1505" s="470"/>
      <c r="D1505" s="469"/>
      <c r="E1505" s="469"/>
      <c r="F1505" s="469"/>
      <c r="G1505" s="915"/>
      <c r="H1505" s="915"/>
      <c r="I1505" s="471"/>
      <c r="J1505" s="471"/>
      <c r="K1505" s="471"/>
      <c r="L1505" s="471"/>
      <c r="M1505" s="471"/>
      <c r="N1505" s="471"/>
      <c r="O1505" s="4"/>
    </row>
    <row r="1506" spans="1:16">
      <c r="C1506" s="1275" t="s">
        <v>460</v>
      </c>
      <c r="D1506" s="1275"/>
      <c r="E1506" s="1275"/>
      <c r="F1506" s="1275"/>
      <c r="G1506" s="1275"/>
      <c r="H1506" s="1275"/>
      <c r="I1506" s="1275"/>
      <c r="J1506" s="1275"/>
      <c r="K1506" s="1275"/>
      <c r="L1506" s="1275"/>
      <c r="M1506" s="1275"/>
      <c r="N1506" s="1275"/>
      <c r="O1506" s="1275"/>
    </row>
    <row r="1507" spans="1:16">
      <c r="C1507" s="1275"/>
      <c r="D1507" s="1275"/>
      <c r="E1507" s="1275"/>
      <c r="F1507" s="1275"/>
      <c r="G1507" s="1275"/>
      <c r="H1507" s="1275"/>
      <c r="I1507" s="1275"/>
      <c r="J1507" s="1275"/>
      <c r="K1507" s="1275"/>
      <c r="L1507" s="1275"/>
      <c r="M1507" s="1275"/>
      <c r="N1507" s="1275"/>
      <c r="O1507" s="1275"/>
    </row>
    <row r="1508" spans="1:16" ht="20.25">
      <c r="A1508" s="411" t="s">
        <v>921</v>
      </c>
      <c r="B1508" s="4"/>
      <c r="C1508" s="4"/>
      <c r="D1508" s="79"/>
      <c r="E1508" s="4"/>
      <c r="F1508" s="81"/>
      <c r="G1508" s="4"/>
      <c r="H1508" s="914"/>
      <c r="K1508" s="11"/>
      <c r="L1508" s="11"/>
      <c r="M1508" s="11"/>
      <c r="N1508" s="11" t="str">
        <f>"Page "&amp;SUM(P$6:P1508)&amp;" of "</f>
        <v xml:space="preserve">Page 17 of </v>
      </c>
      <c r="O1508" s="412">
        <f>COUNT(P$6:P$59579)</f>
        <v>22</v>
      </c>
      <c r="P1508" s="4">
        <v>1</v>
      </c>
    </row>
    <row r="1509" spans="1:16">
      <c r="B1509" s="4"/>
      <c r="C1509" s="4"/>
      <c r="D1509" s="79"/>
      <c r="E1509" s="4"/>
      <c r="F1509" s="4"/>
      <c r="G1509" s="4"/>
      <c r="H1509" s="914"/>
      <c r="I1509" s="4"/>
      <c r="J1509" s="4"/>
      <c r="K1509" s="4"/>
      <c r="L1509" s="4"/>
      <c r="M1509" s="4"/>
      <c r="N1509" s="4"/>
      <c r="O1509" s="4"/>
    </row>
    <row r="1510" spans="1:16" ht="18">
      <c r="B1510" s="413" t="s">
        <v>174</v>
      </c>
      <c r="C1510" s="472" t="s">
        <v>290</v>
      </c>
      <c r="D1510" s="79"/>
      <c r="E1510" s="4"/>
      <c r="F1510" s="4"/>
      <c r="G1510" s="4"/>
      <c r="H1510" s="914"/>
      <c r="I1510" s="914"/>
      <c r="J1510" s="915"/>
      <c r="K1510" s="914"/>
      <c r="L1510" s="914"/>
      <c r="M1510" s="914"/>
      <c r="N1510" s="914"/>
      <c r="O1510" s="4"/>
    </row>
    <row r="1511" spans="1:16" ht="18.75">
      <c r="B1511" s="413"/>
      <c r="C1511" s="13"/>
      <c r="D1511" s="79"/>
      <c r="E1511" s="4"/>
      <c r="F1511" s="4"/>
      <c r="G1511" s="4"/>
      <c r="H1511" s="914"/>
      <c r="I1511" s="914"/>
      <c r="J1511" s="915"/>
      <c r="K1511" s="914"/>
      <c r="L1511" s="914"/>
      <c r="M1511" s="914"/>
      <c r="N1511" s="914"/>
      <c r="O1511" s="4"/>
    </row>
    <row r="1512" spans="1:16" ht="18.75">
      <c r="B1512" s="413"/>
      <c r="C1512" s="13" t="s">
        <v>291</v>
      </c>
      <c r="D1512" s="79"/>
      <c r="E1512" s="4"/>
      <c r="F1512" s="4"/>
      <c r="G1512" s="4"/>
      <c r="H1512" s="914"/>
      <c r="I1512" s="914"/>
      <c r="J1512" s="915"/>
      <c r="K1512" s="914"/>
      <c r="L1512" s="914"/>
      <c r="M1512" s="914"/>
      <c r="N1512" s="914"/>
      <c r="O1512" s="4"/>
    </row>
    <row r="1513" spans="1:16" ht="15.75" thickBot="1">
      <c r="C1513" s="247"/>
      <c r="D1513" s="79"/>
      <c r="E1513" s="4"/>
      <c r="F1513" s="4"/>
      <c r="G1513" s="4"/>
      <c r="H1513" s="914"/>
      <c r="I1513" s="914"/>
      <c r="J1513" s="915"/>
      <c r="K1513" s="914"/>
      <c r="L1513" s="914"/>
      <c r="M1513" s="914"/>
      <c r="N1513" s="914"/>
      <c r="O1513" s="4"/>
    </row>
    <row r="1514" spans="1:16" ht="15.75">
      <c r="C1514" s="414" t="s">
        <v>292</v>
      </c>
      <c r="D1514" s="79"/>
      <c r="E1514" s="4"/>
      <c r="F1514" s="4"/>
      <c r="G1514" s="948"/>
      <c r="H1514" s="4" t="s">
        <v>271</v>
      </c>
      <c r="I1514" s="4"/>
      <c r="J1514" s="4"/>
      <c r="K1514" s="473" t="s">
        <v>296</v>
      </c>
      <c r="L1514" s="474"/>
      <c r="M1514" s="475"/>
      <c r="N1514" s="917">
        <f>VLOOKUP(I1520,C1527:O1586,5)</f>
        <v>1129693.292506929</v>
      </c>
      <c r="O1514" s="4"/>
    </row>
    <row r="1515" spans="1:16" ht="15.75">
      <c r="C1515" s="414"/>
      <c r="D1515" s="79"/>
      <c r="E1515" s="4"/>
      <c r="F1515" s="4"/>
      <c r="G1515" s="4"/>
      <c r="H1515" s="918"/>
      <c r="I1515" s="918"/>
      <c r="J1515" s="919"/>
      <c r="K1515" s="478" t="s">
        <v>297</v>
      </c>
      <c r="L1515" s="920"/>
      <c r="M1515" s="4"/>
      <c r="N1515" s="921">
        <f>VLOOKUP(I1520,C1527:O1586,6)</f>
        <v>1129693.292506929</v>
      </c>
      <c r="O1515" s="4"/>
    </row>
    <row r="1516" spans="1:16" ht="15.75" thickBot="1">
      <c r="C1516" s="479" t="s">
        <v>293</v>
      </c>
      <c r="D1516" s="1276" t="s">
        <v>940</v>
      </c>
      <c r="E1516" s="1276"/>
      <c r="F1516" s="1276"/>
      <c r="G1516" s="4"/>
      <c r="H1516" s="918"/>
      <c r="I1516" s="918"/>
      <c r="J1516" s="915"/>
      <c r="K1516" s="922" t="s">
        <v>450</v>
      </c>
      <c r="L1516" s="923"/>
      <c r="M1516" s="923"/>
      <c r="N1516" s="924">
        <f>+N1515-N1514</f>
        <v>0</v>
      </c>
      <c r="O1516" s="4"/>
    </row>
    <row r="1517" spans="1:16">
      <c r="C1517" s="481"/>
      <c r="D1517" s="482"/>
      <c r="E1517" s="469"/>
      <c r="F1517" s="469"/>
      <c r="G1517" s="483"/>
      <c r="H1517" s="914"/>
      <c r="I1517" s="914"/>
      <c r="J1517" s="915"/>
      <c r="K1517" s="914"/>
      <c r="L1517" s="914"/>
      <c r="M1517" s="914"/>
      <c r="N1517" s="914"/>
      <c r="O1517" s="4"/>
    </row>
    <row r="1518" spans="1:16" ht="13.5" thickBot="1">
      <c r="C1518" s="481"/>
      <c r="D1518" s="925"/>
      <c r="E1518" s="483"/>
      <c r="F1518" s="483"/>
      <c r="G1518" s="483"/>
      <c r="H1518" s="483"/>
      <c r="I1518" s="483"/>
      <c r="J1518" s="483"/>
      <c r="K1518" s="483"/>
      <c r="L1518" s="483"/>
      <c r="M1518" s="483"/>
      <c r="N1518" s="483"/>
      <c r="O1518" s="4"/>
    </row>
    <row r="1519" spans="1:16" ht="13.5" thickBot="1">
      <c r="C1519" s="484" t="s">
        <v>294</v>
      </c>
      <c r="D1519" s="485"/>
      <c r="E1519" s="485"/>
      <c r="F1519" s="485"/>
      <c r="G1519" s="485"/>
      <c r="H1519" s="485"/>
      <c r="I1519" s="486"/>
      <c r="K1519" s="4"/>
      <c r="L1519" s="4"/>
      <c r="M1519" s="4"/>
      <c r="N1519" s="4"/>
      <c r="O1519" s="4"/>
    </row>
    <row r="1520" spans="1:16" ht="15">
      <c r="C1520" s="487" t="s">
        <v>272</v>
      </c>
      <c r="D1520" s="926">
        <v>6852888</v>
      </c>
      <c r="E1520" s="4" t="s">
        <v>273</v>
      </c>
      <c r="G1520" s="79"/>
      <c r="H1520" s="79"/>
      <c r="I1520" s="488">
        <v>2018</v>
      </c>
      <c r="J1520" s="135"/>
      <c r="K1520" s="1277" t="s">
        <v>459</v>
      </c>
      <c r="L1520" s="1277"/>
      <c r="M1520" s="1277"/>
      <c r="N1520" s="1277"/>
      <c r="O1520" s="1277"/>
    </row>
    <row r="1521" spans="1:15">
      <c r="C1521" s="487" t="s">
        <v>275</v>
      </c>
      <c r="D1521" s="636">
        <v>2015</v>
      </c>
      <c r="E1521" s="487" t="s">
        <v>276</v>
      </c>
      <c r="F1521" s="79"/>
      <c r="H1521"/>
      <c r="I1521" s="927">
        <f>IF(G1514="",0,$F$15)</f>
        <v>0</v>
      </c>
      <c r="J1521" s="489"/>
      <c r="K1521" s="915" t="s">
        <v>459</v>
      </c>
    </row>
    <row r="1522" spans="1:15">
      <c r="C1522" s="487" t="s">
        <v>277</v>
      </c>
      <c r="D1522" s="926">
        <v>12</v>
      </c>
      <c r="E1522" s="487" t="s">
        <v>278</v>
      </c>
      <c r="F1522" s="79"/>
      <c r="H1522"/>
      <c r="I1522" s="490">
        <f>$G$70</f>
        <v>0.14996626714737105</v>
      </c>
      <c r="J1522" s="81"/>
      <c r="K1522" t="str">
        <f>"          INPUT PROJECTED ARR (WITH &amp; WITHOUT INCENTIVES) FROM EACH PRIOR YEAR"</f>
        <v xml:space="preserve">          INPUT PROJECTED ARR (WITH &amp; WITHOUT INCENTIVES) FROM EACH PRIOR YEAR</v>
      </c>
    </row>
    <row r="1523" spans="1:15">
      <c r="C1523" s="487" t="s">
        <v>279</v>
      </c>
      <c r="D1523" s="491">
        <f>G$79</f>
        <v>42</v>
      </c>
      <c r="E1523" s="487" t="s">
        <v>280</v>
      </c>
      <c r="F1523" s="79"/>
      <c r="H1523"/>
      <c r="I1523" s="490">
        <f>IF(G1514="",I1522,$G$67)</f>
        <v>0.14996626714737105</v>
      </c>
      <c r="J1523" s="81"/>
      <c r="K1523" t="s">
        <v>357</v>
      </c>
    </row>
    <row r="1524" spans="1:15" ht="13.5" thickBot="1">
      <c r="C1524" s="487" t="s">
        <v>281</v>
      </c>
      <c r="D1524" s="637" t="s">
        <v>923</v>
      </c>
      <c r="E1524" s="492" t="s">
        <v>282</v>
      </c>
      <c r="F1524" s="493"/>
      <c r="G1524" s="494"/>
      <c r="H1524" s="494"/>
      <c r="I1524" s="924">
        <f>IF(D1520=0,0,D1520/D1523)</f>
        <v>163164</v>
      </c>
      <c r="J1524" s="915"/>
      <c r="K1524" s="915" t="s">
        <v>363</v>
      </c>
      <c r="L1524" s="915"/>
      <c r="M1524" s="915"/>
      <c r="N1524" s="915"/>
      <c r="O1524" s="4"/>
    </row>
    <row r="1525" spans="1:15" ht="51">
      <c r="A1525" s="12"/>
      <c r="B1525" s="12"/>
      <c r="C1525" s="495" t="s">
        <v>272</v>
      </c>
      <c r="D1525" s="928" t="s">
        <v>283</v>
      </c>
      <c r="E1525" s="929" t="s">
        <v>284</v>
      </c>
      <c r="F1525" s="928" t="s">
        <v>285</v>
      </c>
      <c r="G1525" s="929" t="s">
        <v>356</v>
      </c>
      <c r="H1525" s="930" t="s">
        <v>356</v>
      </c>
      <c r="I1525" s="495" t="s">
        <v>295</v>
      </c>
      <c r="J1525" s="499"/>
      <c r="K1525" s="929" t="s">
        <v>365</v>
      </c>
      <c r="L1525" s="931"/>
      <c r="M1525" s="929" t="s">
        <v>365</v>
      </c>
      <c r="N1525" s="931"/>
      <c r="O1525" s="931"/>
    </row>
    <row r="1526" spans="1:15" ht="13.5" thickBot="1">
      <c r="C1526" s="500" t="s">
        <v>177</v>
      </c>
      <c r="D1526" s="501" t="s">
        <v>178</v>
      </c>
      <c r="E1526" s="500" t="s">
        <v>37</v>
      </c>
      <c r="F1526" s="501" t="s">
        <v>178</v>
      </c>
      <c r="G1526" s="932" t="s">
        <v>298</v>
      </c>
      <c r="H1526" s="933" t="s">
        <v>300</v>
      </c>
      <c r="I1526" s="500" t="s">
        <v>389</v>
      </c>
      <c r="J1526" s="504"/>
      <c r="K1526" s="932" t="s">
        <v>287</v>
      </c>
      <c r="L1526" s="934"/>
      <c r="M1526" s="932" t="s">
        <v>300</v>
      </c>
      <c r="N1526" s="934"/>
      <c r="O1526" s="934"/>
    </row>
    <row r="1527" spans="1:15">
      <c r="C1527" s="505">
        <f>IF(D1521= "","-",D1521)</f>
        <v>2015</v>
      </c>
      <c r="D1527" s="469">
        <f>+D1520</f>
        <v>6852888</v>
      </c>
      <c r="E1527" s="935">
        <f>+I1524/12*(12-D1522)</f>
        <v>0</v>
      </c>
      <c r="F1527" s="469">
        <f t="shared" ref="F1527:F1586" si="96">+D1527-E1527</f>
        <v>6852888</v>
      </c>
      <c r="G1527" s="936">
        <f>+$I$1522*((D1527+F1527)/2)+E1527</f>
        <v>1027702.0325390133</v>
      </c>
      <c r="H1527" s="937">
        <f>$I$1523*((D1527+F1527)/2)+E1527</f>
        <v>1027702.0325390133</v>
      </c>
      <c r="I1527" s="509">
        <f>+H1527-G1527</f>
        <v>0</v>
      </c>
      <c r="J1527" s="509"/>
      <c r="K1527" s="639">
        <v>1039339</v>
      </c>
      <c r="L1527" s="510"/>
      <c r="M1527" s="639">
        <v>1039339</v>
      </c>
      <c r="N1527" s="510"/>
      <c r="O1527" s="510"/>
    </row>
    <row r="1528" spans="1:15">
      <c r="C1528" s="505">
        <f>IF(D1521="","-",+C1527+1)</f>
        <v>2016</v>
      </c>
      <c r="D1528" s="469">
        <f t="shared" ref="D1528:D1586" si="97">F1527</f>
        <v>6852888</v>
      </c>
      <c r="E1528" s="511">
        <f>IF(D1528&gt;$I$1524,$I$1524,D1528)</f>
        <v>163164</v>
      </c>
      <c r="F1528" s="469">
        <f t="shared" si="96"/>
        <v>6689724</v>
      </c>
      <c r="G1528" s="935">
        <f t="shared" ref="G1528:G1586" si="98">+$I$1522*((D1528+F1528)/2)+E1528</f>
        <v>1178631.4845325965</v>
      </c>
      <c r="H1528" s="938">
        <f t="shared" ref="H1528:H1586" si="99">$I$1523*((D1528+F1528)/2)+E1528</f>
        <v>1178631.4845325965</v>
      </c>
      <c r="I1528" s="509">
        <f t="shared" ref="I1528:I1586" si="100">+H1528-G1528</f>
        <v>0</v>
      </c>
      <c r="J1528" s="509"/>
      <c r="K1528" s="640">
        <v>1387490</v>
      </c>
      <c r="L1528" s="514"/>
      <c r="M1528" s="640">
        <v>1387490</v>
      </c>
      <c r="N1528" s="514"/>
      <c r="O1528" s="514"/>
    </row>
    <row r="1529" spans="1:15">
      <c r="C1529" s="505">
        <f>IF(D1521="","-",+C1528+1)</f>
        <v>2017</v>
      </c>
      <c r="D1529" s="469">
        <f t="shared" si="97"/>
        <v>6689724</v>
      </c>
      <c r="E1529" s="511">
        <f t="shared" ref="E1529:E1586" si="101">IF(D1529&gt;$I$1524,$I$1524,D1529)</f>
        <v>163164</v>
      </c>
      <c r="F1529" s="469">
        <f t="shared" si="96"/>
        <v>6526560</v>
      </c>
      <c r="G1529" s="935">
        <f t="shared" si="98"/>
        <v>1154162.3885197628</v>
      </c>
      <c r="H1529" s="938">
        <f t="shared" si="99"/>
        <v>1154162.3885197628</v>
      </c>
      <c r="I1529" s="509">
        <f t="shared" si="100"/>
        <v>0</v>
      </c>
      <c r="J1529" s="509"/>
      <c r="K1529" s="640">
        <v>1411523</v>
      </c>
      <c r="L1529" s="514"/>
      <c r="M1529" s="640">
        <v>1411523</v>
      </c>
      <c r="N1529" s="514"/>
      <c r="O1529" s="514"/>
    </row>
    <row r="1530" spans="1:15">
      <c r="C1530" s="940">
        <f>IF(D1521="","-",+C1529+1)</f>
        <v>2018</v>
      </c>
      <c r="D1530" s="941">
        <f t="shared" si="97"/>
        <v>6526560</v>
      </c>
      <c r="E1530" s="942">
        <f t="shared" si="101"/>
        <v>163164</v>
      </c>
      <c r="F1530" s="941">
        <f t="shared" si="96"/>
        <v>6363396</v>
      </c>
      <c r="G1530" s="943">
        <f t="shared" si="98"/>
        <v>1129693.292506929</v>
      </c>
      <c r="H1530" s="944">
        <f t="shared" si="99"/>
        <v>1129693.292506929</v>
      </c>
      <c r="I1530" s="945">
        <f t="shared" si="100"/>
        <v>0</v>
      </c>
      <c r="J1530" s="509"/>
      <c r="K1530" s="640"/>
      <c r="L1530" s="514"/>
      <c r="M1530" s="640"/>
      <c r="N1530" s="514"/>
      <c r="O1530" s="514"/>
    </row>
    <row r="1531" spans="1:15">
      <c r="C1531" s="505">
        <f>IF(D1521="","-",+C1530+1)</f>
        <v>2019</v>
      </c>
      <c r="D1531" s="469">
        <f t="shared" si="97"/>
        <v>6363396</v>
      </c>
      <c r="E1531" s="511">
        <f t="shared" si="101"/>
        <v>163164</v>
      </c>
      <c r="F1531" s="469">
        <f t="shared" si="96"/>
        <v>6200232</v>
      </c>
      <c r="G1531" s="935">
        <f t="shared" si="98"/>
        <v>1105224.1964940955</v>
      </c>
      <c r="H1531" s="938">
        <f t="shared" si="99"/>
        <v>1105224.1964940955</v>
      </c>
      <c r="I1531" s="509">
        <f t="shared" si="100"/>
        <v>0</v>
      </c>
      <c r="J1531" s="509"/>
      <c r="K1531" s="640"/>
      <c r="L1531" s="514"/>
      <c r="M1531" s="640"/>
      <c r="N1531" s="514"/>
      <c r="O1531" s="514"/>
    </row>
    <row r="1532" spans="1:15">
      <c r="C1532" s="505">
        <f>IF(D1521="","-",+C1531+1)</f>
        <v>2020</v>
      </c>
      <c r="D1532" s="469">
        <f t="shared" si="97"/>
        <v>6200232</v>
      </c>
      <c r="E1532" s="511">
        <f t="shared" si="101"/>
        <v>163164</v>
      </c>
      <c r="F1532" s="469">
        <f t="shared" si="96"/>
        <v>6037068</v>
      </c>
      <c r="G1532" s="935">
        <f t="shared" si="98"/>
        <v>1080755.100481262</v>
      </c>
      <c r="H1532" s="938">
        <f t="shared" si="99"/>
        <v>1080755.100481262</v>
      </c>
      <c r="I1532" s="509">
        <f t="shared" si="100"/>
        <v>0</v>
      </c>
      <c r="J1532" s="509"/>
      <c r="K1532" s="640"/>
      <c r="L1532" s="514"/>
      <c r="M1532" s="640"/>
      <c r="N1532" s="514"/>
      <c r="O1532" s="514"/>
    </row>
    <row r="1533" spans="1:15">
      <c r="C1533" s="505">
        <f>IF(D1521="","-",+C1532+1)</f>
        <v>2021</v>
      </c>
      <c r="D1533" s="469">
        <f t="shared" si="97"/>
        <v>6037068</v>
      </c>
      <c r="E1533" s="511">
        <f t="shared" si="101"/>
        <v>163164</v>
      </c>
      <c r="F1533" s="469">
        <f t="shared" si="96"/>
        <v>5873904</v>
      </c>
      <c r="G1533" s="935">
        <f t="shared" si="98"/>
        <v>1056286.0044684282</v>
      </c>
      <c r="H1533" s="938">
        <f t="shared" si="99"/>
        <v>1056286.0044684282</v>
      </c>
      <c r="I1533" s="509">
        <f t="shared" si="100"/>
        <v>0</v>
      </c>
      <c r="J1533" s="509"/>
      <c r="K1533" s="640"/>
      <c r="L1533" s="514"/>
      <c r="M1533" s="640"/>
      <c r="N1533" s="514"/>
      <c r="O1533" s="514"/>
    </row>
    <row r="1534" spans="1:15">
      <c r="C1534" s="505">
        <f>IF(D1521="","-",+C1533+1)</f>
        <v>2022</v>
      </c>
      <c r="D1534" s="469">
        <f t="shared" si="97"/>
        <v>5873904</v>
      </c>
      <c r="E1534" s="511">
        <f t="shared" si="101"/>
        <v>163164</v>
      </c>
      <c r="F1534" s="469">
        <f t="shared" si="96"/>
        <v>5710740</v>
      </c>
      <c r="G1534" s="935">
        <f t="shared" si="98"/>
        <v>1031816.9084555946</v>
      </c>
      <c r="H1534" s="938">
        <f t="shared" si="99"/>
        <v>1031816.9084555946</v>
      </c>
      <c r="I1534" s="509">
        <f t="shared" si="100"/>
        <v>0</v>
      </c>
      <c r="J1534" s="509"/>
      <c r="K1534" s="640"/>
      <c r="L1534" s="514"/>
      <c r="M1534" s="640"/>
      <c r="N1534" s="514"/>
      <c r="O1534" s="514"/>
    </row>
    <row r="1535" spans="1:15">
      <c r="C1535" s="505">
        <f>IF(D1521="","-",+C1534+1)</f>
        <v>2023</v>
      </c>
      <c r="D1535" s="469">
        <f t="shared" si="97"/>
        <v>5710740</v>
      </c>
      <c r="E1535" s="511">
        <f t="shared" si="101"/>
        <v>163164</v>
      </c>
      <c r="F1535" s="469">
        <f t="shared" si="96"/>
        <v>5547576</v>
      </c>
      <c r="G1535" s="935">
        <f t="shared" si="98"/>
        <v>1007347.8124427609</v>
      </c>
      <c r="H1535" s="938">
        <f t="shared" si="99"/>
        <v>1007347.8124427609</v>
      </c>
      <c r="I1535" s="509">
        <f t="shared" si="100"/>
        <v>0</v>
      </c>
      <c r="J1535" s="509"/>
      <c r="K1535" s="640"/>
      <c r="L1535" s="514"/>
      <c r="M1535" s="640"/>
      <c r="N1535" s="514"/>
      <c r="O1535" s="514"/>
    </row>
    <row r="1536" spans="1:15">
      <c r="C1536" s="505">
        <f>IF(D1521="","-",+C1535+1)</f>
        <v>2024</v>
      </c>
      <c r="D1536" s="469">
        <f t="shared" si="97"/>
        <v>5547576</v>
      </c>
      <c r="E1536" s="511">
        <f t="shared" si="101"/>
        <v>163164</v>
      </c>
      <c r="F1536" s="469">
        <f t="shared" si="96"/>
        <v>5384412</v>
      </c>
      <c r="G1536" s="935">
        <f t="shared" si="98"/>
        <v>982878.71642992727</v>
      </c>
      <c r="H1536" s="938">
        <f t="shared" si="99"/>
        <v>982878.71642992727</v>
      </c>
      <c r="I1536" s="509">
        <f t="shared" si="100"/>
        <v>0</v>
      </c>
      <c r="J1536" s="509"/>
      <c r="K1536" s="640"/>
      <c r="L1536" s="514"/>
      <c r="M1536" s="640"/>
      <c r="N1536" s="514"/>
      <c r="O1536" s="514"/>
    </row>
    <row r="1537" spans="3:15">
      <c r="C1537" s="505">
        <f>IF(D1521="","-",+C1536+1)</f>
        <v>2025</v>
      </c>
      <c r="D1537" s="469">
        <f t="shared" si="97"/>
        <v>5384412</v>
      </c>
      <c r="E1537" s="511">
        <f t="shared" si="101"/>
        <v>163164</v>
      </c>
      <c r="F1537" s="469">
        <f t="shared" si="96"/>
        <v>5221248</v>
      </c>
      <c r="G1537" s="935">
        <f t="shared" si="98"/>
        <v>958409.62041709363</v>
      </c>
      <c r="H1537" s="938">
        <f t="shared" si="99"/>
        <v>958409.62041709363</v>
      </c>
      <c r="I1537" s="509">
        <f t="shared" si="100"/>
        <v>0</v>
      </c>
      <c r="J1537" s="509"/>
      <c r="K1537" s="640"/>
      <c r="L1537" s="514"/>
      <c r="M1537" s="640"/>
      <c r="N1537" s="514"/>
      <c r="O1537" s="514"/>
    </row>
    <row r="1538" spans="3:15">
      <c r="C1538" s="505">
        <f>IF(D1521="","-",+C1537+1)</f>
        <v>2026</v>
      </c>
      <c r="D1538" s="469">
        <f t="shared" si="97"/>
        <v>5221248</v>
      </c>
      <c r="E1538" s="511">
        <f t="shared" si="101"/>
        <v>163164</v>
      </c>
      <c r="F1538" s="469">
        <f t="shared" si="96"/>
        <v>5058084</v>
      </c>
      <c r="G1538" s="935">
        <f t="shared" si="98"/>
        <v>933940.52440425998</v>
      </c>
      <c r="H1538" s="938">
        <f t="shared" si="99"/>
        <v>933940.52440425998</v>
      </c>
      <c r="I1538" s="509">
        <f t="shared" si="100"/>
        <v>0</v>
      </c>
      <c r="J1538" s="509"/>
      <c r="K1538" s="640"/>
      <c r="L1538" s="514"/>
      <c r="M1538" s="640"/>
      <c r="N1538" s="514"/>
      <c r="O1538" s="514"/>
    </row>
    <row r="1539" spans="3:15">
      <c r="C1539" s="505">
        <f>IF(D1521="","-",+C1538+1)</f>
        <v>2027</v>
      </c>
      <c r="D1539" s="469">
        <f t="shared" si="97"/>
        <v>5058084</v>
      </c>
      <c r="E1539" s="511">
        <f t="shared" si="101"/>
        <v>163164</v>
      </c>
      <c r="F1539" s="469">
        <f t="shared" si="96"/>
        <v>4894920</v>
      </c>
      <c r="G1539" s="935">
        <f t="shared" si="98"/>
        <v>909471.42839142634</v>
      </c>
      <c r="H1539" s="938">
        <f t="shared" si="99"/>
        <v>909471.42839142634</v>
      </c>
      <c r="I1539" s="509">
        <f t="shared" si="100"/>
        <v>0</v>
      </c>
      <c r="J1539" s="509"/>
      <c r="K1539" s="640"/>
      <c r="L1539" s="514"/>
      <c r="M1539" s="640"/>
      <c r="N1539" s="514"/>
      <c r="O1539" s="514"/>
    </row>
    <row r="1540" spans="3:15">
      <c r="C1540" s="505">
        <f>IF(D1521="","-",+C1539+1)</f>
        <v>2028</v>
      </c>
      <c r="D1540" s="469">
        <f t="shared" si="97"/>
        <v>4894920</v>
      </c>
      <c r="E1540" s="511">
        <f t="shared" si="101"/>
        <v>163164</v>
      </c>
      <c r="F1540" s="469">
        <f t="shared" si="96"/>
        <v>4731756</v>
      </c>
      <c r="G1540" s="935">
        <f t="shared" si="98"/>
        <v>885002.33237859269</v>
      </c>
      <c r="H1540" s="938">
        <f t="shared" si="99"/>
        <v>885002.33237859269</v>
      </c>
      <c r="I1540" s="509">
        <f t="shared" si="100"/>
        <v>0</v>
      </c>
      <c r="J1540" s="509"/>
      <c r="K1540" s="640"/>
      <c r="L1540" s="514"/>
      <c r="M1540" s="640"/>
      <c r="N1540" s="514"/>
      <c r="O1540" s="514"/>
    </row>
    <row r="1541" spans="3:15">
      <c r="C1541" s="505">
        <f>IF(D1521="","-",+C1540+1)</f>
        <v>2029</v>
      </c>
      <c r="D1541" s="469">
        <f t="shared" si="97"/>
        <v>4731756</v>
      </c>
      <c r="E1541" s="511">
        <f t="shared" si="101"/>
        <v>163164</v>
      </c>
      <c r="F1541" s="469">
        <f t="shared" si="96"/>
        <v>4568592</v>
      </c>
      <c r="G1541" s="935">
        <f t="shared" si="98"/>
        <v>860533.23636575905</v>
      </c>
      <c r="H1541" s="938">
        <f t="shared" si="99"/>
        <v>860533.23636575905</v>
      </c>
      <c r="I1541" s="509">
        <f t="shared" si="100"/>
        <v>0</v>
      </c>
      <c r="J1541" s="509"/>
      <c r="K1541" s="640"/>
      <c r="L1541" s="514"/>
      <c r="M1541" s="640"/>
      <c r="N1541" s="514"/>
      <c r="O1541" s="514"/>
    </row>
    <row r="1542" spans="3:15">
      <c r="C1542" s="505">
        <f>IF(D1521="","-",+C1541+1)</f>
        <v>2030</v>
      </c>
      <c r="D1542" s="469">
        <f t="shared" si="97"/>
        <v>4568592</v>
      </c>
      <c r="E1542" s="511">
        <f t="shared" si="101"/>
        <v>163164</v>
      </c>
      <c r="F1542" s="469">
        <f t="shared" si="96"/>
        <v>4405428</v>
      </c>
      <c r="G1542" s="935">
        <f t="shared" si="98"/>
        <v>836064.1403529254</v>
      </c>
      <c r="H1542" s="938">
        <f t="shared" si="99"/>
        <v>836064.1403529254</v>
      </c>
      <c r="I1542" s="509">
        <f t="shared" si="100"/>
        <v>0</v>
      </c>
      <c r="J1542" s="509"/>
      <c r="K1542" s="640"/>
      <c r="L1542" s="514"/>
      <c r="M1542" s="640"/>
      <c r="N1542" s="514"/>
      <c r="O1542" s="514"/>
    </row>
    <row r="1543" spans="3:15">
      <c r="C1543" s="505">
        <f>IF(D1521="","-",+C1542+1)</f>
        <v>2031</v>
      </c>
      <c r="D1543" s="469">
        <f t="shared" si="97"/>
        <v>4405428</v>
      </c>
      <c r="E1543" s="511">
        <f t="shared" si="101"/>
        <v>163164</v>
      </c>
      <c r="F1543" s="469">
        <f t="shared" si="96"/>
        <v>4242264</v>
      </c>
      <c r="G1543" s="935">
        <f t="shared" si="98"/>
        <v>811595.04434009176</v>
      </c>
      <c r="H1543" s="938">
        <f t="shared" si="99"/>
        <v>811595.04434009176</v>
      </c>
      <c r="I1543" s="509">
        <f t="shared" si="100"/>
        <v>0</v>
      </c>
      <c r="J1543" s="509"/>
      <c r="K1543" s="640"/>
      <c r="L1543" s="514"/>
      <c r="M1543" s="640"/>
      <c r="N1543" s="514"/>
      <c r="O1543" s="514"/>
    </row>
    <row r="1544" spans="3:15">
      <c r="C1544" s="505">
        <f>IF(D1521="","-",+C1543+1)</f>
        <v>2032</v>
      </c>
      <c r="D1544" s="469">
        <f t="shared" si="97"/>
        <v>4242264</v>
      </c>
      <c r="E1544" s="511">
        <f t="shared" si="101"/>
        <v>163164</v>
      </c>
      <c r="F1544" s="469">
        <f t="shared" si="96"/>
        <v>4079100</v>
      </c>
      <c r="G1544" s="935">
        <f t="shared" si="98"/>
        <v>787125.94832725811</v>
      </c>
      <c r="H1544" s="938">
        <f t="shared" si="99"/>
        <v>787125.94832725811</v>
      </c>
      <c r="I1544" s="509">
        <f t="shared" si="100"/>
        <v>0</v>
      </c>
      <c r="J1544" s="509"/>
      <c r="K1544" s="640"/>
      <c r="L1544" s="514"/>
      <c r="M1544" s="640"/>
      <c r="N1544" s="514"/>
      <c r="O1544" s="514"/>
    </row>
    <row r="1545" spans="3:15">
      <c r="C1545" s="505">
        <f>IF(D1521="","-",+C1544+1)</f>
        <v>2033</v>
      </c>
      <c r="D1545" s="469">
        <f t="shared" si="97"/>
        <v>4079100</v>
      </c>
      <c r="E1545" s="511">
        <f t="shared" si="101"/>
        <v>163164</v>
      </c>
      <c r="F1545" s="469">
        <f t="shared" si="96"/>
        <v>3915936</v>
      </c>
      <c r="G1545" s="935">
        <f t="shared" si="98"/>
        <v>762656.85231442447</v>
      </c>
      <c r="H1545" s="938">
        <f t="shared" si="99"/>
        <v>762656.85231442447</v>
      </c>
      <c r="I1545" s="509">
        <f t="shared" si="100"/>
        <v>0</v>
      </c>
      <c r="J1545" s="509"/>
      <c r="K1545" s="640"/>
      <c r="L1545" s="514"/>
      <c r="M1545" s="640"/>
      <c r="N1545" s="514"/>
      <c r="O1545" s="514"/>
    </row>
    <row r="1546" spans="3:15">
      <c r="C1546" s="505">
        <f>IF(D1521="","-",+C1545+1)</f>
        <v>2034</v>
      </c>
      <c r="D1546" s="469">
        <f t="shared" si="97"/>
        <v>3915936</v>
      </c>
      <c r="E1546" s="511">
        <f t="shared" si="101"/>
        <v>163164</v>
      </c>
      <c r="F1546" s="469">
        <f t="shared" si="96"/>
        <v>3752772</v>
      </c>
      <c r="G1546" s="935">
        <f t="shared" si="98"/>
        <v>738187.75630159071</v>
      </c>
      <c r="H1546" s="938">
        <f t="shared" si="99"/>
        <v>738187.75630159071</v>
      </c>
      <c r="I1546" s="509">
        <f t="shared" si="100"/>
        <v>0</v>
      </c>
      <c r="J1546" s="509"/>
      <c r="K1546" s="640"/>
      <c r="L1546" s="514"/>
      <c r="M1546" s="640"/>
      <c r="N1546" s="514"/>
      <c r="O1546" s="514"/>
    </row>
    <row r="1547" spans="3:15">
      <c r="C1547" s="505">
        <f>IF(D1521="","-",+C1546+1)</f>
        <v>2035</v>
      </c>
      <c r="D1547" s="469">
        <f t="shared" si="97"/>
        <v>3752772</v>
      </c>
      <c r="E1547" s="511">
        <f t="shared" si="101"/>
        <v>163164</v>
      </c>
      <c r="F1547" s="469">
        <f t="shared" si="96"/>
        <v>3589608</v>
      </c>
      <c r="G1547" s="935">
        <f t="shared" si="98"/>
        <v>713718.66028875706</v>
      </c>
      <c r="H1547" s="938">
        <f t="shared" si="99"/>
        <v>713718.66028875706</v>
      </c>
      <c r="I1547" s="509">
        <f t="shared" si="100"/>
        <v>0</v>
      </c>
      <c r="J1547" s="509"/>
      <c r="K1547" s="640"/>
      <c r="L1547" s="514"/>
      <c r="M1547" s="640"/>
      <c r="N1547" s="514"/>
      <c r="O1547" s="514"/>
    </row>
    <row r="1548" spans="3:15">
      <c r="C1548" s="505">
        <f>IF(D1521="","-",+C1547+1)</f>
        <v>2036</v>
      </c>
      <c r="D1548" s="469">
        <f t="shared" si="97"/>
        <v>3589608</v>
      </c>
      <c r="E1548" s="511">
        <f t="shared" si="101"/>
        <v>163164</v>
      </c>
      <c r="F1548" s="469">
        <f t="shared" si="96"/>
        <v>3426444</v>
      </c>
      <c r="G1548" s="935">
        <f t="shared" si="98"/>
        <v>689249.56427592342</v>
      </c>
      <c r="H1548" s="938">
        <f t="shared" si="99"/>
        <v>689249.56427592342</v>
      </c>
      <c r="I1548" s="509">
        <f t="shared" si="100"/>
        <v>0</v>
      </c>
      <c r="J1548" s="509"/>
      <c r="K1548" s="640"/>
      <c r="L1548" s="514"/>
      <c r="M1548" s="640"/>
      <c r="N1548" s="514"/>
      <c r="O1548" s="514"/>
    </row>
    <row r="1549" spans="3:15">
      <c r="C1549" s="505">
        <f>IF(D1521="","-",+C1548+1)</f>
        <v>2037</v>
      </c>
      <c r="D1549" s="469">
        <f t="shared" si="97"/>
        <v>3426444</v>
      </c>
      <c r="E1549" s="511">
        <f t="shared" si="101"/>
        <v>163164</v>
      </c>
      <c r="F1549" s="469">
        <f t="shared" si="96"/>
        <v>3263280</v>
      </c>
      <c r="G1549" s="935">
        <f t="shared" si="98"/>
        <v>664780.46826308989</v>
      </c>
      <c r="H1549" s="938">
        <f t="shared" si="99"/>
        <v>664780.46826308989</v>
      </c>
      <c r="I1549" s="509">
        <f t="shared" si="100"/>
        <v>0</v>
      </c>
      <c r="J1549" s="509"/>
      <c r="K1549" s="640"/>
      <c r="L1549" s="514"/>
      <c r="M1549" s="640"/>
      <c r="N1549" s="514"/>
      <c r="O1549" s="514"/>
    </row>
    <row r="1550" spans="3:15">
      <c r="C1550" s="505">
        <f>IF(D1521="","-",+C1549+1)</f>
        <v>2038</v>
      </c>
      <c r="D1550" s="469">
        <f t="shared" si="97"/>
        <v>3263280</v>
      </c>
      <c r="E1550" s="511">
        <f t="shared" si="101"/>
        <v>163164</v>
      </c>
      <c r="F1550" s="469">
        <f t="shared" si="96"/>
        <v>3100116</v>
      </c>
      <c r="G1550" s="935">
        <f t="shared" si="98"/>
        <v>640311.37225025613</v>
      </c>
      <c r="H1550" s="938">
        <f t="shared" si="99"/>
        <v>640311.37225025613</v>
      </c>
      <c r="I1550" s="509">
        <f t="shared" si="100"/>
        <v>0</v>
      </c>
      <c r="J1550" s="509"/>
      <c r="K1550" s="640"/>
      <c r="L1550" s="514"/>
      <c r="M1550" s="640"/>
      <c r="N1550" s="514"/>
      <c r="O1550" s="514"/>
    </row>
    <row r="1551" spans="3:15">
      <c r="C1551" s="505">
        <f>IF(D1521="","-",+C1550+1)</f>
        <v>2039</v>
      </c>
      <c r="D1551" s="469">
        <f t="shared" si="97"/>
        <v>3100116</v>
      </c>
      <c r="E1551" s="511">
        <f t="shared" si="101"/>
        <v>163164</v>
      </c>
      <c r="F1551" s="469">
        <f t="shared" si="96"/>
        <v>2936952</v>
      </c>
      <c r="G1551" s="935">
        <f t="shared" si="98"/>
        <v>615842.2762374226</v>
      </c>
      <c r="H1551" s="938">
        <f t="shared" si="99"/>
        <v>615842.2762374226</v>
      </c>
      <c r="I1551" s="509">
        <f t="shared" si="100"/>
        <v>0</v>
      </c>
      <c r="J1551" s="509"/>
      <c r="K1551" s="640"/>
      <c r="L1551" s="514"/>
      <c r="M1551" s="640"/>
      <c r="N1551" s="514"/>
      <c r="O1551" s="514"/>
    </row>
    <row r="1552" spans="3:15">
      <c r="C1552" s="505">
        <f>IF(D1521="","-",+C1551+1)</f>
        <v>2040</v>
      </c>
      <c r="D1552" s="469">
        <f t="shared" si="97"/>
        <v>2936952</v>
      </c>
      <c r="E1552" s="511">
        <f t="shared" si="101"/>
        <v>163164</v>
      </c>
      <c r="F1552" s="469">
        <f t="shared" si="96"/>
        <v>2773788</v>
      </c>
      <c r="G1552" s="935">
        <f t="shared" si="98"/>
        <v>591373.18022458884</v>
      </c>
      <c r="H1552" s="938">
        <f t="shared" si="99"/>
        <v>591373.18022458884</v>
      </c>
      <c r="I1552" s="509">
        <f t="shared" si="100"/>
        <v>0</v>
      </c>
      <c r="J1552" s="509"/>
      <c r="K1552" s="640"/>
      <c r="L1552" s="514"/>
      <c r="M1552" s="640"/>
      <c r="N1552" s="514"/>
      <c r="O1552" s="514"/>
    </row>
    <row r="1553" spans="3:15">
      <c r="C1553" s="505">
        <f>IF(D1521="","-",+C1552+1)</f>
        <v>2041</v>
      </c>
      <c r="D1553" s="469">
        <f t="shared" si="97"/>
        <v>2773788</v>
      </c>
      <c r="E1553" s="511">
        <f t="shared" si="101"/>
        <v>163164</v>
      </c>
      <c r="F1553" s="469">
        <f t="shared" si="96"/>
        <v>2610624</v>
      </c>
      <c r="G1553" s="935">
        <f t="shared" si="98"/>
        <v>566904.08421175519</v>
      </c>
      <c r="H1553" s="938">
        <f t="shared" si="99"/>
        <v>566904.08421175519</v>
      </c>
      <c r="I1553" s="509">
        <f t="shared" si="100"/>
        <v>0</v>
      </c>
      <c r="J1553" s="509"/>
      <c r="K1553" s="640"/>
      <c r="L1553" s="514"/>
      <c r="M1553" s="640"/>
      <c r="N1553" s="514"/>
      <c r="O1553" s="514"/>
    </row>
    <row r="1554" spans="3:15">
      <c r="C1554" s="505">
        <f>IF(D1521="","-",+C1553+1)</f>
        <v>2042</v>
      </c>
      <c r="D1554" s="469">
        <f t="shared" si="97"/>
        <v>2610624</v>
      </c>
      <c r="E1554" s="511">
        <f t="shared" si="101"/>
        <v>163164</v>
      </c>
      <c r="F1554" s="469">
        <f t="shared" si="96"/>
        <v>2447460</v>
      </c>
      <c r="G1554" s="935">
        <f t="shared" si="98"/>
        <v>542434.98819892155</v>
      </c>
      <c r="H1554" s="938">
        <f t="shared" si="99"/>
        <v>542434.98819892155</v>
      </c>
      <c r="I1554" s="509">
        <f t="shared" si="100"/>
        <v>0</v>
      </c>
      <c r="J1554" s="509"/>
      <c r="K1554" s="640"/>
      <c r="L1554" s="514"/>
      <c r="M1554" s="640"/>
      <c r="N1554" s="514"/>
      <c r="O1554" s="514"/>
    </row>
    <row r="1555" spans="3:15">
      <c r="C1555" s="505">
        <f>IF(D1521="","-",+C1554+1)</f>
        <v>2043</v>
      </c>
      <c r="D1555" s="469">
        <f t="shared" si="97"/>
        <v>2447460</v>
      </c>
      <c r="E1555" s="511">
        <f t="shared" si="101"/>
        <v>163164</v>
      </c>
      <c r="F1555" s="469">
        <f t="shared" si="96"/>
        <v>2284296</v>
      </c>
      <c r="G1555" s="936">
        <f t="shared" si="98"/>
        <v>517965.89218608791</v>
      </c>
      <c r="H1555" s="938">
        <f t="shared" si="99"/>
        <v>517965.89218608791</v>
      </c>
      <c r="I1555" s="509">
        <f t="shared" si="100"/>
        <v>0</v>
      </c>
      <c r="J1555" s="509"/>
      <c r="K1555" s="640"/>
      <c r="L1555" s="514"/>
      <c r="M1555" s="640"/>
      <c r="N1555" s="514"/>
      <c r="O1555" s="514"/>
    </row>
    <row r="1556" spans="3:15">
      <c r="C1556" s="505">
        <f>IF(D1521="","-",+C1555+1)</f>
        <v>2044</v>
      </c>
      <c r="D1556" s="469">
        <f t="shared" si="97"/>
        <v>2284296</v>
      </c>
      <c r="E1556" s="511">
        <f t="shared" si="101"/>
        <v>163164</v>
      </c>
      <c r="F1556" s="469">
        <f t="shared" si="96"/>
        <v>2121132</v>
      </c>
      <c r="G1556" s="935">
        <f t="shared" si="98"/>
        <v>493496.79617325426</v>
      </c>
      <c r="H1556" s="938">
        <f t="shared" si="99"/>
        <v>493496.79617325426</v>
      </c>
      <c r="I1556" s="509">
        <f t="shared" si="100"/>
        <v>0</v>
      </c>
      <c r="J1556" s="509"/>
      <c r="K1556" s="640"/>
      <c r="L1556" s="514"/>
      <c r="M1556" s="640"/>
      <c r="N1556" s="514"/>
      <c r="O1556" s="514"/>
    </row>
    <row r="1557" spans="3:15">
      <c r="C1557" s="505">
        <f>IF(D1521="","-",+C1556+1)</f>
        <v>2045</v>
      </c>
      <c r="D1557" s="469">
        <f t="shared" si="97"/>
        <v>2121132</v>
      </c>
      <c r="E1557" s="511">
        <f t="shared" si="101"/>
        <v>163164</v>
      </c>
      <c r="F1557" s="469">
        <f t="shared" si="96"/>
        <v>1957968</v>
      </c>
      <c r="G1557" s="935">
        <f t="shared" si="98"/>
        <v>469027.70016042062</v>
      </c>
      <c r="H1557" s="938">
        <f t="shared" si="99"/>
        <v>469027.70016042062</v>
      </c>
      <c r="I1557" s="509">
        <f t="shared" si="100"/>
        <v>0</v>
      </c>
      <c r="J1557" s="509"/>
      <c r="K1557" s="640"/>
      <c r="L1557" s="514"/>
      <c r="M1557" s="640"/>
      <c r="N1557" s="514"/>
      <c r="O1557" s="514"/>
    </row>
    <row r="1558" spans="3:15">
      <c r="C1558" s="505">
        <f>IF(D1521="","-",+C1557+1)</f>
        <v>2046</v>
      </c>
      <c r="D1558" s="469">
        <f t="shared" si="97"/>
        <v>1957968</v>
      </c>
      <c r="E1558" s="511">
        <f t="shared" si="101"/>
        <v>163164</v>
      </c>
      <c r="F1558" s="469">
        <f t="shared" si="96"/>
        <v>1794804</v>
      </c>
      <c r="G1558" s="935">
        <f t="shared" si="98"/>
        <v>444558.60414758697</v>
      </c>
      <c r="H1558" s="938">
        <f t="shared" si="99"/>
        <v>444558.60414758697</v>
      </c>
      <c r="I1558" s="509">
        <f t="shared" si="100"/>
        <v>0</v>
      </c>
      <c r="J1558" s="509"/>
      <c r="K1558" s="640"/>
      <c r="L1558" s="514"/>
      <c r="M1558" s="640"/>
      <c r="N1558" s="514"/>
      <c r="O1558" s="514"/>
    </row>
    <row r="1559" spans="3:15">
      <c r="C1559" s="505">
        <f>IF(D1521="","-",+C1558+1)</f>
        <v>2047</v>
      </c>
      <c r="D1559" s="469">
        <f t="shared" si="97"/>
        <v>1794804</v>
      </c>
      <c r="E1559" s="511">
        <f t="shared" si="101"/>
        <v>163164</v>
      </c>
      <c r="F1559" s="469">
        <f t="shared" si="96"/>
        <v>1631640</v>
      </c>
      <c r="G1559" s="935">
        <f t="shared" si="98"/>
        <v>420089.50813475333</v>
      </c>
      <c r="H1559" s="938">
        <f t="shared" si="99"/>
        <v>420089.50813475333</v>
      </c>
      <c r="I1559" s="509">
        <f t="shared" si="100"/>
        <v>0</v>
      </c>
      <c r="J1559" s="509"/>
      <c r="K1559" s="640"/>
      <c r="L1559" s="514"/>
      <c r="M1559" s="640"/>
      <c r="N1559" s="514"/>
      <c r="O1559" s="514"/>
    </row>
    <row r="1560" spans="3:15">
      <c r="C1560" s="505">
        <f>IF(D1521="","-",+C1559+1)</f>
        <v>2048</v>
      </c>
      <c r="D1560" s="469">
        <f t="shared" si="97"/>
        <v>1631640</v>
      </c>
      <c r="E1560" s="511">
        <f t="shared" si="101"/>
        <v>163164</v>
      </c>
      <c r="F1560" s="469">
        <f t="shared" si="96"/>
        <v>1468476</v>
      </c>
      <c r="G1560" s="935">
        <f t="shared" si="98"/>
        <v>395620.41212191968</v>
      </c>
      <c r="H1560" s="938">
        <f t="shared" si="99"/>
        <v>395620.41212191968</v>
      </c>
      <c r="I1560" s="509">
        <f t="shared" si="100"/>
        <v>0</v>
      </c>
      <c r="J1560" s="509"/>
      <c r="K1560" s="640"/>
      <c r="L1560" s="514"/>
      <c r="M1560" s="640"/>
      <c r="N1560" s="514"/>
      <c r="O1560" s="514"/>
    </row>
    <row r="1561" spans="3:15">
      <c r="C1561" s="505">
        <f>IF(D1521="","-",+C1560+1)</f>
        <v>2049</v>
      </c>
      <c r="D1561" s="469">
        <f t="shared" si="97"/>
        <v>1468476</v>
      </c>
      <c r="E1561" s="511">
        <f t="shared" si="101"/>
        <v>163164</v>
      </c>
      <c r="F1561" s="469">
        <f t="shared" si="96"/>
        <v>1305312</v>
      </c>
      <c r="G1561" s="935">
        <f t="shared" si="98"/>
        <v>371151.31610908604</v>
      </c>
      <c r="H1561" s="938">
        <f t="shared" si="99"/>
        <v>371151.31610908604</v>
      </c>
      <c r="I1561" s="509">
        <f t="shared" si="100"/>
        <v>0</v>
      </c>
      <c r="J1561" s="509"/>
      <c r="K1561" s="640"/>
      <c r="L1561" s="514"/>
      <c r="M1561" s="640"/>
      <c r="N1561" s="514"/>
      <c r="O1561" s="514"/>
    </row>
    <row r="1562" spans="3:15">
      <c r="C1562" s="505">
        <f>IF(D1521="","-",+C1561+1)</f>
        <v>2050</v>
      </c>
      <c r="D1562" s="469">
        <f t="shared" si="97"/>
        <v>1305312</v>
      </c>
      <c r="E1562" s="511">
        <f t="shared" si="101"/>
        <v>163164</v>
      </c>
      <c r="F1562" s="469">
        <f t="shared" si="96"/>
        <v>1142148</v>
      </c>
      <c r="G1562" s="935">
        <f t="shared" si="98"/>
        <v>346682.22009625239</v>
      </c>
      <c r="H1562" s="938">
        <f t="shared" si="99"/>
        <v>346682.22009625239</v>
      </c>
      <c r="I1562" s="509">
        <f t="shared" si="100"/>
        <v>0</v>
      </c>
      <c r="J1562" s="509"/>
      <c r="K1562" s="640"/>
      <c r="L1562" s="514"/>
      <c r="M1562" s="640"/>
      <c r="N1562" s="514"/>
      <c r="O1562" s="514"/>
    </row>
    <row r="1563" spans="3:15">
      <c r="C1563" s="505">
        <f>IF(D1521="","-",+C1562+1)</f>
        <v>2051</v>
      </c>
      <c r="D1563" s="469">
        <f t="shared" si="97"/>
        <v>1142148</v>
      </c>
      <c r="E1563" s="511">
        <f t="shared" si="101"/>
        <v>163164</v>
      </c>
      <c r="F1563" s="469">
        <f t="shared" si="96"/>
        <v>978984</v>
      </c>
      <c r="G1563" s="935">
        <f t="shared" si="98"/>
        <v>322213.12408341875</v>
      </c>
      <c r="H1563" s="938">
        <f t="shared" si="99"/>
        <v>322213.12408341875</v>
      </c>
      <c r="I1563" s="509">
        <f t="shared" si="100"/>
        <v>0</v>
      </c>
      <c r="J1563" s="509"/>
      <c r="K1563" s="640"/>
      <c r="L1563" s="514"/>
      <c r="M1563" s="640"/>
      <c r="N1563" s="514"/>
      <c r="O1563" s="514"/>
    </row>
    <row r="1564" spans="3:15">
      <c r="C1564" s="505">
        <f>IF(D1521="","-",+C1563+1)</f>
        <v>2052</v>
      </c>
      <c r="D1564" s="469">
        <f t="shared" si="97"/>
        <v>978984</v>
      </c>
      <c r="E1564" s="511">
        <f t="shared" si="101"/>
        <v>163164</v>
      </c>
      <c r="F1564" s="469">
        <f t="shared" si="96"/>
        <v>815820</v>
      </c>
      <c r="G1564" s="935">
        <f t="shared" si="98"/>
        <v>297744.0280705851</v>
      </c>
      <c r="H1564" s="938">
        <f t="shared" si="99"/>
        <v>297744.0280705851</v>
      </c>
      <c r="I1564" s="509">
        <f t="shared" si="100"/>
        <v>0</v>
      </c>
      <c r="J1564" s="509"/>
      <c r="K1564" s="640"/>
      <c r="L1564" s="514"/>
      <c r="M1564" s="640"/>
      <c r="N1564" s="514"/>
      <c r="O1564" s="514"/>
    </row>
    <row r="1565" spans="3:15">
      <c r="C1565" s="505">
        <f>IF(D1521="","-",+C1564+1)</f>
        <v>2053</v>
      </c>
      <c r="D1565" s="469">
        <f t="shared" si="97"/>
        <v>815820</v>
      </c>
      <c r="E1565" s="511">
        <f t="shared" si="101"/>
        <v>163164</v>
      </c>
      <c r="F1565" s="469">
        <f t="shared" si="96"/>
        <v>652656</v>
      </c>
      <c r="G1565" s="935">
        <f t="shared" si="98"/>
        <v>273274.9320577514</v>
      </c>
      <c r="H1565" s="938">
        <f t="shared" si="99"/>
        <v>273274.9320577514</v>
      </c>
      <c r="I1565" s="509">
        <f t="shared" si="100"/>
        <v>0</v>
      </c>
      <c r="J1565" s="509"/>
      <c r="K1565" s="640"/>
      <c r="L1565" s="514"/>
      <c r="M1565" s="640"/>
      <c r="N1565" s="514"/>
      <c r="O1565" s="514"/>
    </row>
    <row r="1566" spans="3:15">
      <c r="C1566" s="505">
        <f>IF(D1521="","-",+C1565+1)</f>
        <v>2054</v>
      </c>
      <c r="D1566" s="469">
        <f t="shared" si="97"/>
        <v>652656</v>
      </c>
      <c r="E1566" s="511">
        <f t="shared" si="101"/>
        <v>163164</v>
      </c>
      <c r="F1566" s="469">
        <f t="shared" si="96"/>
        <v>489492</v>
      </c>
      <c r="G1566" s="935">
        <f t="shared" si="98"/>
        <v>248805.83604491776</v>
      </c>
      <c r="H1566" s="938">
        <f t="shared" si="99"/>
        <v>248805.83604491776</v>
      </c>
      <c r="I1566" s="509">
        <f t="shared" si="100"/>
        <v>0</v>
      </c>
      <c r="J1566" s="509"/>
      <c r="K1566" s="640"/>
      <c r="L1566" s="514"/>
      <c r="M1566" s="640"/>
      <c r="N1566" s="514"/>
      <c r="O1566" s="514"/>
    </row>
    <row r="1567" spans="3:15">
      <c r="C1567" s="505">
        <f>IF(D1521="","-",+C1566+1)</f>
        <v>2055</v>
      </c>
      <c r="D1567" s="469">
        <f t="shared" si="97"/>
        <v>489492</v>
      </c>
      <c r="E1567" s="511">
        <f t="shared" si="101"/>
        <v>163164</v>
      </c>
      <c r="F1567" s="469">
        <f t="shared" si="96"/>
        <v>326328</v>
      </c>
      <c r="G1567" s="935">
        <f t="shared" si="98"/>
        <v>224336.74003208411</v>
      </c>
      <c r="H1567" s="938">
        <f t="shared" si="99"/>
        <v>224336.74003208411</v>
      </c>
      <c r="I1567" s="509">
        <f t="shared" si="100"/>
        <v>0</v>
      </c>
      <c r="J1567" s="509"/>
      <c r="K1567" s="640"/>
      <c r="L1567" s="514"/>
      <c r="M1567" s="640"/>
      <c r="N1567" s="514"/>
      <c r="O1567" s="514"/>
    </row>
    <row r="1568" spans="3:15">
      <c r="C1568" s="505">
        <f>IF(D1521="","-",+C1567+1)</f>
        <v>2056</v>
      </c>
      <c r="D1568" s="469">
        <f t="shared" si="97"/>
        <v>326328</v>
      </c>
      <c r="E1568" s="511">
        <f t="shared" si="101"/>
        <v>163164</v>
      </c>
      <c r="F1568" s="469">
        <f t="shared" si="96"/>
        <v>163164</v>
      </c>
      <c r="G1568" s="935">
        <f t="shared" si="98"/>
        <v>199867.64401925047</v>
      </c>
      <c r="H1568" s="938">
        <f t="shared" si="99"/>
        <v>199867.64401925047</v>
      </c>
      <c r="I1568" s="509">
        <f t="shared" si="100"/>
        <v>0</v>
      </c>
      <c r="J1568" s="509"/>
      <c r="K1568" s="640"/>
      <c r="L1568" s="514"/>
      <c r="M1568" s="640"/>
      <c r="N1568" s="514"/>
      <c r="O1568" s="514"/>
    </row>
    <row r="1569" spans="3:15">
      <c r="C1569" s="505">
        <f>IF(D1521="","-",+C1568+1)</f>
        <v>2057</v>
      </c>
      <c r="D1569" s="469">
        <f t="shared" si="97"/>
        <v>163164</v>
      </c>
      <c r="E1569" s="511">
        <f t="shared" si="101"/>
        <v>163164</v>
      </c>
      <c r="F1569" s="469">
        <f t="shared" si="96"/>
        <v>0</v>
      </c>
      <c r="G1569" s="935">
        <f t="shared" si="98"/>
        <v>175398.54800641682</v>
      </c>
      <c r="H1569" s="938">
        <f t="shared" si="99"/>
        <v>175398.54800641682</v>
      </c>
      <c r="I1569" s="509">
        <f t="shared" si="100"/>
        <v>0</v>
      </c>
      <c r="J1569" s="509"/>
      <c r="K1569" s="640"/>
      <c r="L1569" s="514"/>
      <c r="M1569" s="640"/>
      <c r="N1569" s="514"/>
      <c r="O1569" s="514"/>
    </row>
    <row r="1570" spans="3:15">
      <c r="C1570" s="505">
        <f>IF(D1521="","-",+C1569+1)</f>
        <v>2058</v>
      </c>
      <c r="D1570" s="469">
        <f t="shared" si="97"/>
        <v>0</v>
      </c>
      <c r="E1570" s="511">
        <f t="shared" si="101"/>
        <v>0</v>
      </c>
      <c r="F1570" s="469">
        <f t="shared" si="96"/>
        <v>0</v>
      </c>
      <c r="G1570" s="935">
        <f t="shared" si="98"/>
        <v>0</v>
      </c>
      <c r="H1570" s="938">
        <f t="shared" si="99"/>
        <v>0</v>
      </c>
      <c r="I1570" s="509">
        <f t="shared" si="100"/>
        <v>0</v>
      </c>
      <c r="J1570" s="509"/>
      <c r="K1570" s="640"/>
      <c r="L1570" s="514"/>
      <c r="M1570" s="640"/>
      <c r="N1570" s="514"/>
      <c r="O1570" s="514"/>
    </row>
    <row r="1571" spans="3:15">
      <c r="C1571" s="505">
        <f>IF(D1521="","-",+C1570+1)</f>
        <v>2059</v>
      </c>
      <c r="D1571" s="469">
        <f t="shared" si="97"/>
        <v>0</v>
      </c>
      <c r="E1571" s="511">
        <f t="shared" si="101"/>
        <v>0</v>
      </c>
      <c r="F1571" s="469">
        <f t="shared" si="96"/>
        <v>0</v>
      </c>
      <c r="G1571" s="935">
        <f t="shared" si="98"/>
        <v>0</v>
      </c>
      <c r="H1571" s="938">
        <f t="shared" si="99"/>
        <v>0</v>
      </c>
      <c r="I1571" s="509">
        <f t="shared" si="100"/>
        <v>0</v>
      </c>
      <c r="J1571" s="509"/>
      <c r="K1571" s="640"/>
      <c r="L1571" s="514"/>
      <c r="M1571" s="640"/>
      <c r="N1571" s="514"/>
      <c r="O1571" s="514"/>
    </row>
    <row r="1572" spans="3:15">
      <c r="C1572" s="505">
        <f>IF(D1521="","-",+C1571+1)</f>
        <v>2060</v>
      </c>
      <c r="D1572" s="469">
        <f t="shared" si="97"/>
        <v>0</v>
      </c>
      <c r="E1572" s="511">
        <f t="shared" si="101"/>
        <v>0</v>
      </c>
      <c r="F1572" s="469">
        <f t="shared" si="96"/>
        <v>0</v>
      </c>
      <c r="G1572" s="935">
        <f t="shared" si="98"/>
        <v>0</v>
      </c>
      <c r="H1572" s="938">
        <f t="shared" si="99"/>
        <v>0</v>
      </c>
      <c r="I1572" s="509">
        <f t="shared" si="100"/>
        <v>0</v>
      </c>
      <c r="J1572" s="509"/>
      <c r="K1572" s="640"/>
      <c r="L1572" s="514"/>
      <c r="M1572" s="640"/>
      <c r="N1572" s="514"/>
      <c r="O1572" s="514"/>
    </row>
    <row r="1573" spans="3:15">
      <c r="C1573" s="505">
        <f>IF(D1521="","-",+C1572+1)</f>
        <v>2061</v>
      </c>
      <c r="D1573" s="469">
        <f t="shared" si="97"/>
        <v>0</v>
      </c>
      <c r="E1573" s="511">
        <f t="shared" si="101"/>
        <v>0</v>
      </c>
      <c r="F1573" s="469">
        <f t="shared" si="96"/>
        <v>0</v>
      </c>
      <c r="G1573" s="935">
        <f t="shared" si="98"/>
        <v>0</v>
      </c>
      <c r="H1573" s="938">
        <f t="shared" si="99"/>
        <v>0</v>
      </c>
      <c r="I1573" s="509">
        <f t="shared" si="100"/>
        <v>0</v>
      </c>
      <c r="J1573" s="509"/>
      <c r="K1573" s="640"/>
      <c r="L1573" s="514"/>
      <c r="M1573" s="640"/>
      <c r="N1573" s="514"/>
      <c r="O1573" s="514"/>
    </row>
    <row r="1574" spans="3:15">
      <c r="C1574" s="505">
        <f>IF(D1521="","-",+C1573+1)</f>
        <v>2062</v>
      </c>
      <c r="D1574" s="469">
        <f t="shared" si="97"/>
        <v>0</v>
      </c>
      <c r="E1574" s="511">
        <f t="shared" si="101"/>
        <v>0</v>
      </c>
      <c r="F1574" s="469">
        <f t="shared" si="96"/>
        <v>0</v>
      </c>
      <c r="G1574" s="935">
        <f t="shared" si="98"/>
        <v>0</v>
      </c>
      <c r="H1574" s="938">
        <f t="shared" si="99"/>
        <v>0</v>
      </c>
      <c r="I1574" s="509">
        <f t="shared" si="100"/>
        <v>0</v>
      </c>
      <c r="J1574" s="509"/>
      <c r="K1574" s="640"/>
      <c r="L1574" s="514"/>
      <c r="M1574" s="640"/>
      <c r="N1574" s="514"/>
      <c r="O1574" s="514"/>
    </row>
    <row r="1575" spans="3:15">
      <c r="C1575" s="505">
        <f>IF(D1521="","-",+C1574+1)</f>
        <v>2063</v>
      </c>
      <c r="D1575" s="469">
        <f t="shared" si="97"/>
        <v>0</v>
      </c>
      <c r="E1575" s="511">
        <f t="shared" si="101"/>
        <v>0</v>
      </c>
      <c r="F1575" s="469">
        <f t="shared" si="96"/>
        <v>0</v>
      </c>
      <c r="G1575" s="935">
        <f t="shared" si="98"/>
        <v>0</v>
      </c>
      <c r="H1575" s="938">
        <f t="shared" si="99"/>
        <v>0</v>
      </c>
      <c r="I1575" s="509">
        <f t="shared" si="100"/>
        <v>0</v>
      </c>
      <c r="J1575" s="509"/>
      <c r="K1575" s="640"/>
      <c r="L1575" s="514"/>
      <c r="M1575" s="640"/>
      <c r="N1575" s="514"/>
      <c r="O1575" s="514"/>
    </row>
    <row r="1576" spans="3:15">
      <c r="C1576" s="505">
        <f>IF(D1521="","-",+C1575+1)</f>
        <v>2064</v>
      </c>
      <c r="D1576" s="469">
        <f t="shared" si="97"/>
        <v>0</v>
      </c>
      <c r="E1576" s="511">
        <f t="shared" si="101"/>
        <v>0</v>
      </c>
      <c r="F1576" s="469">
        <f t="shared" si="96"/>
        <v>0</v>
      </c>
      <c r="G1576" s="935">
        <f t="shared" si="98"/>
        <v>0</v>
      </c>
      <c r="H1576" s="938">
        <f t="shared" si="99"/>
        <v>0</v>
      </c>
      <c r="I1576" s="509">
        <f t="shared" si="100"/>
        <v>0</v>
      </c>
      <c r="J1576" s="509"/>
      <c r="K1576" s="640"/>
      <c r="L1576" s="514"/>
      <c r="M1576" s="640"/>
      <c r="N1576" s="514"/>
      <c r="O1576" s="514"/>
    </row>
    <row r="1577" spans="3:15">
      <c r="C1577" s="505">
        <f>IF(D1521="","-",+C1576+1)</f>
        <v>2065</v>
      </c>
      <c r="D1577" s="469">
        <f t="shared" si="97"/>
        <v>0</v>
      </c>
      <c r="E1577" s="511">
        <f t="shared" si="101"/>
        <v>0</v>
      </c>
      <c r="F1577" s="469">
        <f t="shared" si="96"/>
        <v>0</v>
      </c>
      <c r="G1577" s="935">
        <f t="shared" si="98"/>
        <v>0</v>
      </c>
      <c r="H1577" s="938">
        <f t="shared" si="99"/>
        <v>0</v>
      </c>
      <c r="I1577" s="509">
        <f t="shared" si="100"/>
        <v>0</v>
      </c>
      <c r="J1577" s="509"/>
      <c r="K1577" s="640"/>
      <c r="L1577" s="514"/>
      <c r="M1577" s="640"/>
      <c r="N1577" s="514"/>
      <c r="O1577" s="514"/>
    </row>
    <row r="1578" spans="3:15">
      <c r="C1578" s="505">
        <f>IF(D1521="","-",+C1577+1)</f>
        <v>2066</v>
      </c>
      <c r="D1578" s="469">
        <f t="shared" si="97"/>
        <v>0</v>
      </c>
      <c r="E1578" s="511">
        <f t="shared" si="101"/>
        <v>0</v>
      </c>
      <c r="F1578" s="469">
        <f t="shared" si="96"/>
        <v>0</v>
      </c>
      <c r="G1578" s="935">
        <f t="shared" si="98"/>
        <v>0</v>
      </c>
      <c r="H1578" s="938">
        <f t="shared" si="99"/>
        <v>0</v>
      </c>
      <c r="I1578" s="509">
        <f t="shared" si="100"/>
        <v>0</v>
      </c>
      <c r="J1578" s="509"/>
      <c r="K1578" s="640"/>
      <c r="L1578" s="514"/>
      <c r="M1578" s="640"/>
      <c r="N1578" s="514"/>
      <c r="O1578" s="514"/>
    </row>
    <row r="1579" spans="3:15">
      <c r="C1579" s="505">
        <f>IF(D1521="","-",+C1578+1)</f>
        <v>2067</v>
      </c>
      <c r="D1579" s="469">
        <f t="shared" si="97"/>
        <v>0</v>
      </c>
      <c r="E1579" s="511">
        <f t="shared" si="101"/>
        <v>0</v>
      </c>
      <c r="F1579" s="469">
        <f t="shared" si="96"/>
        <v>0</v>
      </c>
      <c r="G1579" s="935">
        <f t="shared" si="98"/>
        <v>0</v>
      </c>
      <c r="H1579" s="938">
        <f t="shared" si="99"/>
        <v>0</v>
      </c>
      <c r="I1579" s="509">
        <f t="shared" si="100"/>
        <v>0</v>
      </c>
      <c r="J1579" s="509"/>
      <c r="K1579" s="640"/>
      <c r="L1579" s="514"/>
      <c r="M1579" s="640"/>
      <c r="N1579" s="514"/>
      <c r="O1579" s="514"/>
    </row>
    <row r="1580" spans="3:15">
      <c r="C1580" s="505">
        <f>IF(D1521="","-",+C1579+1)</f>
        <v>2068</v>
      </c>
      <c r="D1580" s="469">
        <f t="shared" si="97"/>
        <v>0</v>
      </c>
      <c r="E1580" s="511">
        <f t="shared" si="101"/>
        <v>0</v>
      </c>
      <c r="F1580" s="469">
        <f t="shared" si="96"/>
        <v>0</v>
      </c>
      <c r="G1580" s="935">
        <f t="shared" si="98"/>
        <v>0</v>
      </c>
      <c r="H1580" s="938">
        <f t="shared" si="99"/>
        <v>0</v>
      </c>
      <c r="I1580" s="509">
        <f t="shared" si="100"/>
        <v>0</v>
      </c>
      <c r="J1580" s="509"/>
      <c r="K1580" s="640"/>
      <c r="L1580" s="514"/>
      <c r="M1580" s="640"/>
      <c r="N1580" s="514"/>
      <c r="O1580" s="514"/>
    </row>
    <row r="1581" spans="3:15">
      <c r="C1581" s="505">
        <f>IF(D1521="","-",+C1580+1)</f>
        <v>2069</v>
      </c>
      <c r="D1581" s="469">
        <f t="shared" si="97"/>
        <v>0</v>
      </c>
      <c r="E1581" s="511">
        <f t="shared" si="101"/>
        <v>0</v>
      </c>
      <c r="F1581" s="469">
        <f t="shared" si="96"/>
        <v>0</v>
      </c>
      <c r="G1581" s="935">
        <f t="shared" si="98"/>
        <v>0</v>
      </c>
      <c r="H1581" s="938">
        <f t="shared" si="99"/>
        <v>0</v>
      </c>
      <c r="I1581" s="509">
        <f t="shared" si="100"/>
        <v>0</v>
      </c>
      <c r="J1581" s="509"/>
      <c r="K1581" s="640"/>
      <c r="L1581" s="514"/>
      <c r="M1581" s="640"/>
      <c r="N1581" s="514"/>
      <c r="O1581" s="514"/>
    </row>
    <row r="1582" spans="3:15">
      <c r="C1582" s="505">
        <f>IF(D1521="","-",+C1581+1)</f>
        <v>2070</v>
      </c>
      <c r="D1582" s="469">
        <f t="shared" si="97"/>
        <v>0</v>
      </c>
      <c r="E1582" s="511">
        <f t="shared" si="101"/>
        <v>0</v>
      </c>
      <c r="F1582" s="469">
        <f t="shared" si="96"/>
        <v>0</v>
      </c>
      <c r="G1582" s="935">
        <f t="shared" si="98"/>
        <v>0</v>
      </c>
      <c r="H1582" s="938">
        <f t="shared" si="99"/>
        <v>0</v>
      </c>
      <c r="I1582" s="509">
        <f t="shared" si="100"/>
        <v>0</v>
      </c>
      <c r="J1582" s="509"/>
      <c r="K1582" s="640"/>
      <c r="L1582" s="514"/>
      <c r="M1582" s="640"/>
      <c r="N1582" s="514"/>
      <c r="O1582" s="514"/>
    </row>
    <row r="1583" spans="3:15">
      <c r="C1583" s="505">
        <f>IF(D1521="","-",+C1582+1)</f>
        <v>2071</v>
      </c>
      <c r="D1583" s="469">
        <f t="shared" si="97"/>
        <v>0</v>
      </c>
      <c r="E1583" s="511">
        <f t="shared" si="101"/>
        <v>0</v>
      </c>
      <c r="F1583" s="469">
        <f t="shared" si="96"/>
        <v>0</v>
      </c>
      <c r="G1583" s="935">
        <f t="shared" si="98"/>
        <v>0</v>
      </c>
      <c r="H1583" s="938">
        <f t="shared" si="99"/>
        <v>0</v>
      </c>
      <c r="I1583" s="509">
        <f t="shared" si="100"/>
        <v>0</v>
      </c>
      <c r="J1583" s="509"/>
      <c r="K1583" s="640"/>
      <c r="L1583" s="514"/>
      <c r="M1583" s="640"/>
      <c r="N1583" s="514"/>
      <c r="O1583" s="514"/>
    </row>
    <row r="1584" spans="3:15">
      <c r="C1584" s="505">
        <f>IF(D1521="","-",+C1583+1)</f>
        <v>2072</v>
      </c>
      <c r="D1584" s="469">
        <f t="shared" si="97"/>
        <v>0</v>
      </c>
      <c r="E1584" s="511">
        <f t="shared" si="101"/>
        <v>0</v>
      </c>
      <c r="F1584" s="469">
        <f t="shared" si="96"/>
        <v>0</v>
      </c>
      <c r="G1584" s="935">
        <f t="shared" si="98"/>
        <v>0</v>
      </c>
      <c r="H1584" s="938">
        <f t="shared" si="99"/>
        <v>0</v>
      </c>
      <c r="I1584" s="509">
        <f t="shared" si="100"/>
        <v>0</v>
      </c>
      <c r="J1584" s="509"/>
      <c r="K1584" s="640"/>
      <c r="L1584" s="514"/>
      <c r="M1584" s="640"/>
      <c r="N1584" s="514"/>
      <c r="O1584" s="514"/>
    </row>
    <row r="1585" spans="1:16">
      <c r="C1585" s="505">
        <f>IF(D1521="","-",+C1584+1)</f>
        <v>2073</v>
      </c>
      <c r="D1585" s="469">
        <f t="shared" si="97"/>
        <v>0</v>
      </c>
      <c r="E1585" s="511">
        <f t="shared" si="101"/>
        <v>0</v>
      </c>
      <c r="F1585" s="469">
        <f t="shared" si="96"/>
        <v>0</v>
      </c>
      <c r="G1585" s="935">
        <f t="shared" si="98"/>
        <v>0</v>
      </c>
      <c r="H1585" s="938">
        <f t="shared" si="99"/>
        <v>0</v>
      </c>
      <c r="I1585" s="509">
        <f t="shared" si="100"/>
        <v>0</v>
      </c>
      <c r="J1585" s="509"/>
      <c r="K1585" s="640"/>
      <c r="L1585" s="514"/>
      <c r="M1585" s="640"/>
      <c r="N1585" s="514"/>
      <c r="O1585" s="514"/>
    </row>
    <row r="1586" spans="1:16" ht="13.5" thickBot="1">
      <c r="C1586" s="515">
        <f>IF(D1521="","-",+C1585+1)</f>
        <v>2074</v>
      </c>
      <c r="D1586" s="516">
        <f t="shared" si="97"/>
        <v>0</v>
      </c>
      <c r="E1586" s="517">
        <f t="shared" si="101"/>
        <v>0</v>
      </c>
      <c r="F1586" s="516">
        <f t="shared" si="96"/>
        <v>0</v>
      </c>
      <c r="G1586" s="946">
        <f t="shared" si="98"/>
        <v>0</v>
      </c>
      <c r="H1586" s="946">
        <f t="shared" si="99"/>
        <v>0</v>
      </c>
      <c r="I1586" s="519">
        <f t="shared" si="100"/>
        <v>0</v>
      </c>
      <c r="J1586" s="509"/>
      <c r="K1586" s="641"/>
      <c r="L1586" s="521"/>
      <c r="M1586" s="641"/>
      <c r="N1586" s="521"/>
      <c r="O1586" s="521"/>
    </row>
    <row r="1587" spans="1:16">
      <c r="C1587" s="469" t="s">
        <v>288</v>
      </c>
      <c r="D1587" s="915"/>
      <c r="E1587" s="469"/>
      <c r="F1587" s="915"/>
      <c r="G1587" s="915">
        <f>SUM(G1527:G1586)</f>
        <v>29462332.715858292</v>
      </c>
      <c r="H1587" s="915">
        <f>SUM(H1527:H1586)</f>
        <v>29462332.715858292</v>
      </c>
      <c r="I1587" s="915">
        <f>SUM(I1527:I1586)</f>
        <v>0</v>
      </c>
      <c r="J1587" s="915"/>
      <c r="K1587" s="915"/>
      <c r="L1587" s="915"/>
      <c r="M1587" s="915"/>
      <c r="N1587" s="915"/>
      <c r="O1587" s="4"/>
    </row>
    <row r="1588" spans="1:16">
      <c r="D1588" s="79"/>
      <c r="E1588" s="4"/>
      <c r="F1588" s="4"/>
      <c r="G1588" s="4"/>
      <c r="H1588" s="914"/>
      <c r="I1588" s="914"/>
      <c r="J1588" s="915"/>
      <c r="K1588" s="914"/>
      <c r="L1588" s="914"/>
      <c r="M1588" s="914"/>
      <c r="N1588" s="914"/>
      <c r="O1588" s="4"/>
    </row>
    <row r="1589" spans="1:16">
      <c r="C1589" s="4" t="s">
        <v>595</v>
      </c>
      <c r="D1589" s="79"/>
      <c r="E1589" s="4"/>
      <c r="F1589" s="4"/>
      <c r="G1589" s="4"/>
      <c r="H1589" s="914"/>
      <c r="I1589" s="914"/>
      <c r="J1589" s="915"/>
      <c r="K1589" s="914"/>
      <c r="L1589" s="914"/>
      <c r="M1589" s="914"/>
      <c r="N1589" s="914"/>
      <c r="O1589" s="4"/>
    </row>
    <row r="1590" spans="1:16">
      <c r="C1590" s="4"/>
      <c r="D1590" s="79"/>
      <c r="E1590" s="4"/>
      <c r="F1590" s="4"/>
      <c r="G1590" s="4"/>
      <c r="H1590" s="914"/>
      <c r="I1590" s="914"/>
      <c r="J1590" s="915"/>
      <c r="K1590" s="914"/>
      <c r="L1590" s="914"/>
      <c r="M1590" s="914"/>
      <c r="N1590" s="914"/>
      <c r="O1590" s="4"/>
    </row>
    <row r="1591" spans="1:16">
      <c r="C1591" s="479" t="s">
        <v>924</v>
      </c>
      <c r="D1591" s="469"/>
      <c r="E1591" s="469"/>
      <c r="F1591" s="469"/>
      <c r="G1591" s="915"/>
      <c r="H1591" s="915"/>
      <c r="I1591" s="471"/>
      <c r="J1591" s="471"/>
      <c r="K1591" s="471"/>
      <c r="L1591" s="471"/>
      <c r="M1591" s="471"/>
      <c r="N1591" s="471"/>
      <c r="O1591" s="4"/>
    </row>
    <row r="1592" spans="1:16">
      <c r="C1592" s="479" t="s">
        <v>476</v>
      </c>
      <c r="D1592" s="469"/>
      <c r="E1592" s="469"/>
      <c r="F1592" s="469"/>
      <c r="G1592" s="915"/>
      <c r="H1592" s="915"/>
      <c r="I1592" s="471"/>
      <c r="J1592" s="471"/>
      <c r="K1592" s="471"/>
      <c r="L1592" s="471"/>
      <c r="M1592" s="471"/>
      <c r="N1592" s="471"/>
      <c r="O1592" s="4"/>
    </row>
    <row r="1593" spans="1:16">
      <c r="C1593" s="470" t="s">
        <v>289</v>
      </c>
      <c r="D1593" s="469"/>
      <c r="E1593" s="469"/>
      <c r="F1593" s="469"/>
      <c r="G1593" s="915"/>
      <c r="H1593" s="915"/>
      <c r="I1593" s="471"/>
      <c r="J1593" s="471"/>
      <c r="K1593" s="471"/>
      <c r="L1593" s="471"/>
      <c r="M1593" s="471"/>
      <c r="N1593" s="471"/>
      <c r="O1593" s="4"/>
    </row>
    <row r="1594" spans="1:16">
      <c r="C1594" s="470"/>
      <c r="D1594" s="469"/>
      <c r="E1594" s="469"/>
      <c r="F1594" s="469"/>
      <c r="G1594" s="915"/>
      <c r="H1594" s="915"/>
      <c r="I1594" s="471"/>
      <c r="J1594" s="471"/>
      <c r="K1594" s="471"/>
      <c r="L1594" s="471"/>
      <c r="M1594" s="471"/>
      <c r="N1594" s="471"/>
      <c r="O1594" s="4"/>
    </row>
    <row r="1595" spans="1:16">
      <c r="C1595" s="1275" t="s">
        <v>460</v>
      </c>
      <c r="D1595" s="1275"/>
      <c r="E1595" s="1275"/>
      <c r="F1595" s="1275"/>
      <c r="G1595" s="1275"/>
      <c r="H1595" s="1275"/>
      <c r="I1595" s="1275"/>
      <c r="J1595" s="1275"/>
      <c r="K1595" s="1275"/>
      <c r="L1595" s="1275"/>
      <c r="M1595" s="1275"/>
      <c r="N1595" s="1275"/>
      <c r="O1595" s="1275"/>
    </row>
    <row r="1596" spans="1:16">
      <c r="C1596" s="1275"/>
      <c r="D1596" s="1275"/>
      <c r="E1596" s="1275"/>
      <c r="F1596" s="1275"/>
      <c r="G1596" s="1275"/>
      <c r="H1596" s="1275"/>
      <c r="I1596" s="1275"/>
      <c r="J1596" s="1275"/>
      <c r="K1596" s="1275"/>
      <c r="L1596" s="1275"/>
      <c r="M1596" s="1275"/>
      <c r="N1596" s="1275"/>
      <c r="O1596" s="1275"/>
    </row>
    <row r="1597" spans="1:16" ht="20.25">
      <c r="A1597" s="411" t="s">
        <v>921</v>
      </c>
      <c r="B1597" s="4"/>
      <c r="C1597" s="4"/>
      <c r="D1597" s="79"/>
      <c r="E1597" s="4"/>
      <c r="F1597" s="81"/>
      <c r="G1597" s="4"/>
      <c r="H1597" s="914"/>
      <c r="K1597" s="11"/>
      <c r="L1597" s="11"/>
      <c r="M1597" s="11"/>
      <c r="N1597" s="11" t="str">
        <f>"Page "&amp;SUM(P$6:P1597)&amp;" of "</f>
        <v xml:space="preserve">Page 18 of </v>
      </c>
      <c r="O1597" s="412">
        <f>COUNT(P$6:P$59579)</f>
        <v>22</v>
      </c>
      <c r="P1597" s="4">
        <v>1</v>
      </c>
    </row>
    <row r="1598" spans="1:16">
      <c r="B1598" s="4"/>
      <c r="C1598" s="4"/>
      <c r="D1598" s="79"/>
      <c r="E1598" s="4"/>
      <c r="F1598" s="4"/>
      <c r="G1598" s="4"/>
      <c r="H1598" s="914"/>
      <c r="I1598" s="4"/>
      <c r="J1598" s="4"/>
      <c r="K1598" s="4"/>
      <c r="L1598" s="4"/>
      <c r="M1598" s="4"/>
      <c r="N1598" s="4"/>
      <c r="O1598" s="4"/>
    </row>
    <row r="1599" spans="1:16" ht="18">
      <c r="B1599" s="413" t="s">
        <v>174</v>
      </c>
      <c r="C1599" s="472" t="s">
        <v>290</v>
      </c>
      <c r="D1599" s="79"/>
      <c r="E1599" s="4"/>
      <c r="F1599" s="4"/>
      <c r="G1599" s="4"/>
      <c r="H1599" s="914"/>
      <c r="I1599" s="914"/>
      <c r="J1599" s="915"/>
      <c r="K1599" s="914"/>
      <c r="L1599" s="914"/>
      <c r="M1599" s="914"/>
      <c r="N1599" s="914"/>
      <c r="O1599" s="4"/>
    </row>
    <row r="1600" spans="1:16" ht="18.75">
      <c r="B1600" s="413"/>
      <c r="C1600" s="13"/>
      <c r="D1600" s="79"/>
      <c r="E1600" s="4"/>
      <c r="F1600" s="4"/>
      <c r="G1600" s="4"/>
      <c r="H1600" s="914"/>
      <c r="I1600" s="914"/>
      <c r="J1600" s="915"/>
      <c r="K1600" s="914"/>
      <c r="L1600" s="914"/>
      <c r="M1600" s="914"/>
      <c r="N1600" s="914"/>
      <c r="O1600" s="4"/>
    </row>
    <row r="1601" spans="1:15" ht="18.75">
      <c r="B1601" s="413"/>
      <c r="C1601" s="13" t="s">
        <v>291</v>
      </c>
      <c r="D1601" s="79"/>
      <c r="E1601" s="4"/>
      <c r="F1601" s="4"/>
      <c r="G1601" s="4"/>
      <c r="H1601" s="914"/>
      <c r="I1601" s="914"/>
      <c r="J1601" s="915"/>
      <c r="K1601" s="914"/>
      <c r="L1601" s="914"/>
      <c r="M1601" s="914"/>
      <c r="N1601" s="914"/>
      <c r="O1601" s="4"/>
    </row>
    <row r="1602" spans="1:15" ht="15.75" thickBot="1">
      <c r="C1602" s="247"/>
      <c r="D1602" s="79"/>
      <c r="E1602" s="4"/>
      <c r="F1602" s="4"/>
      <c r="G1602" s="4"/>
      <c r="H1602" s="914"/>
      <c r="I1602" s="914"/>
      <c r="J1602" s="915"/>
      <c r="K1602" s="914"/>
      <c r="L1602" s="914"/>
      <c r="M1602" s="914"/>
      <c r="N1602" s="914"/>
      <c r="O1602" s="4"/>
    </row>
    <row r="1603" spans="1:15" ht="15.75">
      <c r="C1603" s="414" t="s">
        <v>292</v>
      </c>
      <c r="D1603" s="79"/>
      <c r="E1603" s="4"/>
      <c r="F1603" s="4"/>
      <c r="G1603" s="948"/>
      <c r="H1603" s="4" t="s">
        <v>271</v>
      </c>
      <c r="I1603" s="4"/>
      <c r="J1603" s="4"/>
      <c r="K1603" s="473" t="s">
        <v>296</v>
      </c>
      <c r="L1603" s="474"/>
      <c r="M1603" s="475"/>
      <c r="N1603" s="917">
        <f>VLOOKUP(I1609,C1616:O1675,5)</f>
        <v>970916.49026856804</v>
      </c>
      <c r="O1603" s="4"/>
    </row>
    <row r="1604" spans="1:15" ht="15.75">
      <c r="C1604" s="414"/>
      <c r="D1604" s="79"/>
      <c r="E1604" s="4"/>
      <c r="F1604" s="4"/>
      <c r="G1604" s="4"/>
      <c r="H1604" s="918"/>
      <c r="I1604" s="918"/>
      <c r="J1604" s="919"/>
      <c r="K1604" s="478" t="s">
        <v>297</v>
      </c>
      <c r="L1604" s="920"/>
      <c r="M1604" s="4"/>
      <c r="N1604" s="921">
        <f>VLOOKUP(I1609,C1616:O1675,6)</f>
        <v>970916.49026856804</v>
      </c>
      <c r="O1604" s="4"/>
    </row>
    <row r="1605" spans="1:15" ht="13.5" thickBot="1">
      <c r="C1605" s="479" t="s">
        <v>293</v>
      </c>
      <c r="D1605" s="956" t="s">
        <v>941</v>
      </c>
      <c r="E1605" s="953"/>
      <c r="F1605" s="953"/>
      <c r="G1605" s="953"/>
      <c r="H1605" s="643"/>
      <c r="I1605" s="643"/>
      <c r="J1605" s="915"/>
      <c r="K1605" s="922" t="s">
        <v>450</v>
      </c>
      <c r="L1605" s="923"/>
      <c r="M1605" s="923"/>
      <c r="N1605" s="924">
        <f>+N1604-N1603</f>
        <v>0</v>
      </c>
      <c r="O1605" s="4"/>
    </row>
    <row r="1606" spans="1:15">
      <c r="C1606" s="481"/>
      <c r="D1606" s="482"/>
      <c r="E1606" s="469"/>
      <c r="F1606" s="469"/>
      <c r="G1606" s="483"/>
      <c r="H1606" s="914"/>
      <c r="I1606" s="914"/>
      <c r="J1606" s="915"/>
      <c r="K1606" s="914"/>
      <c r="L1606" s="914"/>
      <c r="M1606" s="914"/>
      <c r="N1606" s="914"/>
      <c r="O1606" s="4"/>
    </row>
    <row r="1607" spans="1:15" ht="13.5" thickBot="1">
      <c r="C1607" s="481"/>
      <c r="D1607" s="925"/>
      <c r="E1607" s="483"/>
      <c r="F1607" s="483"/>
      <c r="G1607" s="483"/>
      <c r="H1607" s="483"/>
      <c r="I1607" s="483"/>
      <c r="J1607" s="483"/>
      <c r="K1607" s="483"/>
      <c r="L1607" s="483"/>
      <c r="M1607" s="483"/>
      <c r="N1607" s="483"/>
      <c r="O1607" s="4"/>
    </row>
    <row r="1608" spans="1:15" ht="13.5" thickBot="1">
      <c r="C1608" s="484" t="s">
        <v>294</v>
      </c>
      <c r="D1608" s="485"/>
      <c r="E1608" s="485"/>
      <c r="F1608" s="485"/>
      <c r="G1608" s="485"/>
      <c r="H1608" s="485"/>
      <c r="I1608" s="486"/>
      <c r="K1608" s="4"/>
      <c r="L1608" s="4"/>
      <c r="M1608" s="4"/>
      <c r="N1608" s="4"/>
      <c r="O1608" s="4"/>
    </row>
    <row r="1609" spans="1:15" ht="15">
      <c r="C1609" s="487" t="s">
        <v>272</v>
      </c>
      <c r="D1609" s="926">
        <v>5965093</v>
      </c>
      <c r="E1609" s="4" t="s">
        <v>273</v>
      </c>
      <c r="G1609" s="79"/>
      <c r="H1609" s="79"/>
      <c r="I1609" s="488">
        <v>2018</v>
      </c>
      <c r="J1609" s="135"/>
      <c r="K1609" s="1277" t="s">
        <v>459</v>
      </c>
      <c r="L1609" s="1277"/>
      <c r="M1609" s="1277"/>
      <c r="N1609" s="1277"/>
      <c r="O1609" s="1277"/>
    </row>
    <row r="1610" spans="1:15">
      <c r="C1610" s="487" t="s">
        <v>275</v>
      </c>
      <c r="D1610" s="636">
        <v>2015</v>
      </c>
      <c r="E1610" s="487" t="s">
        <v>276</v>
      </c>
      <c r="F1610" s="79"/>
      <c r="H1610"/>
      <c r="I1610" s="927">
        <f>IF(G1603="",0,$F$15)</f>
        <v>0</v>
      </c>
      <c r="J1610" s="489"/>
      <c r="K1610" s="915" t="s">
        <v>459</v>
      </c>
    </row>
    <row r="1611" spans="1:15">
      <c r="C1611" s="487" t="s">
        <v>277</v>
      </c>
      <c r="D1611" s="926">
        <v>5</v>
      </c>
      <c r="E1611" s="487" t="s">
        <v>278</v>
      </c>
      <c r="F1611" s="79"/>
      <c r="H1611"/>
      <c r="I1611" s="490">
        <f>$G$70</f>
        <v>0.14996626714737105</v>
      </c>
      <c r="J1611" s="81"/>
      <c r="K1611" t="str">
        <f>"          INPUT PROJECTED ARR (WITH &amp; WITHOUT INCENTIVES) FROM EACH PRIOR YEAR"</f>
        <v xml:space="preserve">          INPUT PROJECTED ARR (WITH &amp; WITHOUT INCENTIVES) FROM EACH PRIOR YEAR</v>
      </c>
    </row>
    <row r="1612" spans="1:15">
      <c r="C1612" s="487" t="s">
        <v>279</v>
      </c>
      <c r="D1612" s="491">
        <f>G$79</f>
        <v>42</v>
      </c>
      <c r="E1612" s="487" t="s">
        <v>280</v>
      </c>
      <c r="F1612" s="79"/>
      <c r="H1612"/>
      <c r="I1612" s="490">
        <f>IF(G1603="",I1611,$G$67)</f>
        <v>0.14996626714737105</v>
      </c>
      <c r="J1612" s="81"/>
      <c r="K1612" t="s">
        <v>357</v>
      </c>
    </row>
    <row r="1613" spans="1:15" ht="13.5" thickBot="1">
      <c r="C1613" s="487" t="s">
        <v>281</v>
      </c>
      <c r="D1613" s="637" t="s">
        <v>923</v>
      </c>
      <c r="E1613" s="492" t="s">
        <v>282</v>
      </c>
      <c r="F1613" s="493"/>
      <c r="G1613" s="494"/>
      <c r="H1613" s="494"/>
      <c r="I1613" s="924">
        <f>IF(D1609=0,0,D1609/D1612)</f>
        <v>142026.02380952382</v>
      </c>
      <c r="J1613" s="915"/>
      <c r="K1613" s="915" t="s">
        <v>363</v>
      </c>
      <c r="L1613" s="915"/>
      <c r="M1613" s="915"/>
      <c r="N1613" s="915"/>
      <c r="O1613" s="4"/>
    </row>
    <row r="1614" spans="1:15" ht="51">
      <c r="A1614" s="12"/>
      <c r="B1614" s="12"/>
      <c r="C1614" s="495" t="s">
        <v>272</v>
      </c>
      <c r="D1614" s="928" t="s">
        <v>283</v>
      </c>
      <c r="E1614" s="929" t="s">
        <v>284</v>
      </c>
      <c r="F1614" s="928" t="s">
        <v>285</v>
      </c>
      <c r="G1614" s="929" t="s">
        <v>356</v>
      </c>
      <c r="H1614" s="930" t="s">
        <v>356</v>
      </c>
      <c r="I1614" s="495" t="s">
        <v>295</v>
      </c>
      <c r="J1614" s="499"/>
      <c r="K1614" s="929" t="s">
        <v>365</v>
      </c>
      <c r="L1614" s="931"/>
      <c r="M1614" s="929" t="s">
        <v>365</v>
      </c>
      <c r="N1614" s="931"/>
      <c r="O1614" s="931"/>
    </row>
    <row r="1615" spans="1:15" ht="13.5" thickBot="1">
      <c r="C1615" s="500" t="s">
        <v>177</v>
      </c>
      <c r="D1615" s="501" t="s">
        <v>178</v>
      </c>
      <c r="E1615" s="500" t="s">
        <v>37</v>
      </c>
      <c r="F1615" s="501" t="s">
        <v>178</v>
      </c>
      <c r="G1615" s="932" t="s">
        <v>298</v>
      </c>
      <c r="H1615" s="933" t="s">
        <v>300</v>
      </c>
      <c r="I1615" s="500" t="s">
        <v>389</v>
      </c>
      <c r="J1615" s="504"/>
      <c r="K1615" s="932" t="s">
        <v>287</v>
      </c>
      <c r="L1615" s="934"/>
      <c r="M1615" s="932" t="s">
        <v>300</v>
      </c>
      <c r="N1615" s="934"/>
      <c r="O1615" s="934"/>
    </row>
    <row r="1616" spans="1:15">
      <c r="C1616" s="505">
        <f>IF(D1610= "","-",D1610)</f>
        <v>2015</v>
      </c>
      <c r="D1616" s="469">
        <f>+D1609</f>
        <v>5965093</v>
      </c>
      <c r="E1616" s="935">
        <f>+I1613/12*(12-D1611)</f>
        <v>82848.513888888891</v>
      </c>
      <c r="F1616" s="469">
        <f t="shared" ref="F1616:F1675" si="102">+D1616-E1616</f>
        <v>5882244.486111111</v>
      </c>
      <c r="G1616" s="936">
        <f>+$I$1611*((D1616+F1616)/2)+E1616</f>
        <v>971199.0031024901</v>
      </c>
      <c r="H1616" s="937">
        <f>$I$1612*((D1616+F1616)/2)+E1616</f>
        <v>971199.0031024901</v>
      </c>
      <c r="I1616" s="509">
        <f>+H1616-G1616</f>
        <v>0</v>
      </c>
      <c r="J1616" s="509"/>
      <c r="K1616" s="639">
        <v>805154</v>
      </c>
      <c r="L1616" s="510"/>
      <c r="M1616" s="639">
        <v>805154</v>
      </c>
      <c r="N1616" s="510"/>
      <c r="O1616" s="510"/>
    </row>
    <row r="1617" spans="3:15">
      <c r="C1617" s="505">
        <f>IF(D1610="","-",+C1616+1)</f>
        <v>2016</v>
      </c>
      <c r="D1617" s="941">
        <f t="shared" ref="D1617:D1675" si="103">F1616</f>
        <v>5882244.486111111</v>
      </c>
      <c r="E1617" s="942">
        <f>IF(D1617&gt;$I$1613,$I$1613,D1617)</f>
        <v>142026.02380952382</v>
      </c>
      <c r="F1617" s="469">
        <f t="shared" si="102"/>
        <v>5740218.4623015868</v>
      </c>
      <c r="G1617" s="935">
        <f t="shared" ref="G1617:G1675" si="104">+$I$1611*((D1617+F1617)/2)+E1617</f>
        <v>1013514.7155255639</v>
      </c>
      <c r="H1617" s="938">
        <f t="shared" ref="H1617:H1675" si="105">$I$1612*((D1617+F1617)/2)+E1617</f>
        <v>1013514.7155255639</v>
      </c>
      <c r="I1617" s="509">
        <f t="shared" ref="I1617:I1675" si="106">+H1617-G1617</f>
        <v>0</v>
      </c>
      <c r="J1617" s="509"/>
      <c r="K1617" s="640">
        <v>1159062</v>
      </c>
      <c r="L1617" s="514"/>
      <c r="M1617" s="640">
        <v>1159062</v>
      </c>
      <c r="N1617" s="514"/>
      <c r="O1617" s="514"/>
    </row>
    <row r="1618" spans="3:15">
      <c r="C1618" s="505">
        <f>IF(D1610="","-",+C1617+1)</f>
        <v>2017</v>
      </c>
      <c r="D1618" s="941">
        <f t="shared" si="103"/>
        <v>5740218.4623015868</v>
      </c>
      <c r="E1618" s="942">
        <f t="shared" ref="E1618:E1675" si="107">IF(D1618&gt;$I$1613,$I$1613,D1618)</f>
        <v>142026.02380952382</v>
      </c>
      <c r="F1618" s="469">
        <f t="shared" si="102"/>
        <v>5598192.4384920625</v>
      </c>
      <c r="G1618" s="935">
        <f t="shared" si="104"/>
        <v>992215.60289706604</v>
      </c>
      <c r="H1618" s="938">
        <f t="shared" si="105"/>
        <v>992215.60289706604</v>
      </c>
      <c r="I1618" s="509">
        <f t="shared" si="106"/>
        <v>0</v>
      </c>
      <c r="J1618" s="509"/>
      <c r="K1618" s="640">
        <v>1177370</v>
      </c>
      <c r="L1618" s="514"/>
      <c r="M1618" s="640">
        <v>1177370</v>
      </c>
      <c r="N1618" s="514"/>
      <c r="O1618" s="514"/>
    </row>
    <row r="1619" spans="3:15">
      <c r="C1619" s="940">
        <f>IF(D1610="","-",+C1618+1)</f>
        <v>2018</v>
      </c>
      <c r="D1619" s="941">
        <f t="shared" si="103"/>
        <v>5598192.4384920625</v>
      </c>
      <c r="E1619" s="942">
        <f t="shared" si="107"/>
        <v>142026.02380952382</v>
      </c>
      <c r="F1619" s="941">
        <f t="shared" si="102"/>
        <v>5456166.4146825382</v>
      </c>
      <c r="G1619" s="943">
        <f t="shared" si="104"/>
        <v>970916.49026856804</v>
      </c>
      <c r="H1619" s="944">
        <f t="shared" si="105"/>
        <v>970916.49026856804</v>
      </c>
      <c r="I1619" s="945">
        <f t="shared" si="106"/>
        <v>0</v>
      </c>
      <c r="J1619" s="509"/>
      <c r="K1619" s="640"/>
      <c r="L1619" s="514"/>
      <c r="M1619" s="640"/>
      <c r="N1619" s="514"/>
      <c r="O1619" s="514"/>
    </row>
    <row r="1620" spans="3:15">
      <c r="C1620" s="505">
        <f>IF(D1610="","-",+C1619+1)</f>
        <v>2019</v>
      </c>
      <c r="D1620" s="941">
        <f t="shared" si="103"/>
        <v>5456166.4146825382</v>
      </c>
      <c r="E1620" s="942">
        <f t="shared" si="107"/>
        <v>142026.02380952382</v>
      </c>
      <c r="F1620" s="469">
        <f t="shared" si="102"/>
        <v>5314140.390873014</v>
      </c>
      <c r="G1620" s="935">
        <f t="shared" si="104"/>
        <v>949617.37764007004</v>
      </c>
      <c r="H1620" s="938">
        <f t="shared" si="105"/>
        <v>949617.37764007004</v>
      </c>
      <c r="I1620" s="509">
        <f t="shared" si="106"/>
        <v>0</v>
      </c>
      <c r="J1620" s="509"/>
      <c r="K1620" s="640"/>
      <c r="L1620" s="514"/>
      <c r="M1620" s="640"/>
      <c r="N1620" s="514"/>
      <c r="O1620" s="514"/>
    </row>
    <row r="1621" spans="3:15">
      <c r="C1621" s="505">
        <f>IF(D1610="","-",+C1620+1)</f>
        <v>2020</v>
      </c>
      <c r="D1621" s="941">
        <f t="shared" si="103"/>
        <v>5314140.390873014</v>
      </c>
      <c r="E1621" s="942">
        <f t="shared" si="107"/>
        <v>142026.02380952382</v>
      </c>
      <c r="F1621" s="469">
        <f t="shared" si="102"/>
        <v>5172114.3670634897</v>
      </c>
      <c r="G1621" s="935">
        <f t="shared" si="104"/>
        <v>928318.26501157205</v>
      </c>
      <c r="H1621" s="938">
        <f t="shared" si="105"/>
        <v>928318.26501157205</v>
      </c>
      <c r="I1621" s="509">
        <f t="shared" si="106"/>
        <v>0</v>
      </c>
      <c r="J1621" s="509"/>
      <c r="K1621" s="640"/>
      <c r="L1621" s="514"/>
      <c r="M1621" s="640"/>
      <c r="N1621" s="514"/>
      <c r="O1621" s="514"/>
    </row>
    <row r="1622" spans="3:15">
      <c r="C1622" s="505">
        <f>IF(D1610="","-",+C1621+1)</f>
        <v>2021</v>
      </c>
      <c r="D1622" s="941">
        <f t="shared" si="103"/>
        <v>5172114.3670634897</v>
      </c>
      <c r="E1622" s="942">
        <f t="shared" si="107"/>
        <v>142026.02380952382</v>
      </c>
      <c r="F1622" s="469">
        <f t="shared" si="102"/>
        <v>5030088.3432539655</v>
      </c>
      <c r="G1622" s="935">
        <f t="shared" si="104"/>
        <v>907019.15238307405</v>
      </c>
      <c r="H1622" s="938">
        <f t="shared" si="105"/>
        <v>907019.15238307405</v>
      </c>
      <c r="I1622" s="509">
        <f t="shared" si="106"/>
        <v>0</v>
      </c>
      <c r="J1622" s="509"/>
      <c r="K1622" s="640"/>
      <c r="L1622" s="514"/>
      <c r="M1622" s="640"/>
      <c r="N1622" s="514"/>
      <c r="O1622" s="514"/>
    </row>
    <row r="1623" spans="3:15">
      <c r="C1623" s="505">
        <f>IF(D1610="","-",+C1622+1)</f>
        <v>2022</v>
      </c>
      <c r="D1623" s="941">
        <f t="shared" si="103"/>
        <v>5030088.3432539655</v>
      </c>
      <c r="E1623" s="942">
        <f t="shared" si="107"/>
        <v>142026.02380952382</v>
      </c>
      <c r="F1623" s="469">
        <f t="shared" si="102"/>
        <v>4888062.3194444412</v>
      </c>
      <c r="G1623" s="935">
        <f t="shared" si="104"/>
        <v>885720.03975457605</v>
      </c>
      <c r="H1623" s="938">
        <f t="shared" si="105"/>
        <v>885720.03975457605</v>
      </c>
      <c r="I1623" s="509">
        <f t="shared" si="106"/>
        <v>0</v>
      </c>
      <c r="J1623" s="509"/>
      <c r="K1623" s="640"/>
      <c r="L1623" s="514"/>
      <c r="M1623" s="640"/>
      <c r="N1623" s="514"/>
      <c r="O1623" s="514"/>
    </row>
    <row r="1624" spans="3:15">
      <c r="C1624" s="505">
        <f>IF(D1610="","-",+C1623+1)</f>
        <v>2023</v>
      </c>
      <c r="D1624" s="941">
        <f t="shared" si="103"/>
        <v>4888062.3194444412</v>
      </c>
      <c r="E1624" s="942">
        <f t="shared" si="107"/>
        <v>142026.02380952382</v>
      </c>
      <c r="F1624" s="469">
        <f t="shared" si="102"/>
        <v>4746036.295634917</v>
      </c>
      <c r="G1624" s="935">
        <f t="shared" si="104"/>
        <v>864420.92712607805</v>
      </c>
      <c r="H1624" s="938">
        <f t="shared" si="105"/>
        <v>864420.92712607805</v>
      </c>
      <c r="I1624" s="509">
        <f t="shared" si="106"/>
        <v>0</v>
      </c>
      <c r="J1624" s="509"/>
      <c r="K1624" s="640"/>
      <c r="L1624" s="514"/>
      <c r="M1624" s="640"/>
      <c r="N1624" s="514"/>
      <c r="O1624" s="514"/>
    </row>
    <row r="1625" spans="3:15">
      <c r="C1625" s="505">
        <f>IF(D1610="","-",+C1624+1)</f>
        <v>2024</v>
      </c>
      <c r="D1625" s="941">
        <f t="shared" si="103"/>
        <v>4746036.295634917</v>
      </c>
      <c r="E1625" s="942">
        <f t="shared" si="107"/>
        <v>142026.02380952382</v>
      </c>
      <c r="F1625" s="469">
        <f t="shared" si="102"/>
        <v>4604010.2718253927</v>
      </c>
      <c r="G1625" s="935">
        <f t="shared" si="104"/>
        <v>843121.81449758005</v>
      </c>
      <c r="H1625" s="938">
        <f t="shared" si="105"/>
        <v>843121.81449758005</v>
      </c>
      <c r="I1625" s="509">
        <f t="shared" si="106"/>
        <v>0</v>
      </c>
      <c r="J1625" s="509"/>
      <c r="K1625" s="640"/>
      <c r="L1625" s="514"/>
      <c r="M1625" s="640"/>
      <c r="N1625" s="514"/>
      <c r="O1625" s="514"/>
    </row>
    <row r="1626" spans="3:15">
      <c r="C1626" s="505">
        <f>IF(D1610="","-",+C1625+1)</f>
        <v>2025</v>
      </c>
      <c r="D1626" s="941">
        <f t="shared" si="103"/>
        <v>4604010.2718253927</v>
      </c>
      <c r="E1626" s="942">
        <f t="shared" si="107"/>
        <v>142026.02380952382</v>
      </c>
      <c r="F1626" s="469">
        <f t="shared" si="102"/>
        <v>4461984.2480158685</v>
      </c>
      <c r="G1626" s="935">
        <f t="shared" si="104"/>
        <v>821822.70186908206</v>
      </c>
      <c r="H1626" s="938">
        <f t="shared" si="105"/>
        <v>821822.70186908206</v>
      </c>
      <c r="I1626" s="509">
        <f t="shared" si="106"/>
        <v>0</v>
      </c>
      <c r="J1626" s="509"/>
      <c r="K1626" s="640"/>
      <c r="L1626" s="514"/>
      <c r="M1626" s="640"/>
      <c r="N1626" s="514"/>
      <c r="O1626" s="514"/>
    </row>
    <row r="1627" spans="3:15">
      <c r="C1627" s="505">
        <f>IF(D1610="","-",+C1626+1)</f>
        <v>2026</v>
      </c>
      <c r="D1627" s="941">
        <f t="shared" si="103"/>
        <v>4461984.2480158685</v>
      </c>
      <c r="E1627" s="942">
        <f t="shared" si="107"/>
        <v>142026.02380952382</v>
      </c>
      <c r="F1627" s="469">
        <f t="shared" si="102"/>
        <v>4319958.2242063442</v>
      </c>
      <c r="G1627" s="935">
        <f t="shared" si="104"/>
        <v>800523.58924058406</v>
      </c>
      <c r="H1627" s="938">
        <f t="shared" si="105"/>
        <v>800523.58924058406</v>
      </c>
      <c r="I1627" s="509">
        <f t="shared" si="106"/>
        <v>0</v>
      </c>
      <c r="J1627" s="509"/>
      <c r="K1627" s="640"/>
      <c r="L1627" s="514"/>
      <c r="M1627" s="640"/>
      <c r="N1627" s="514"/>
      <c r="O1627" s="514"/>
    </row>
    <row r="1628" spans="3:15">
      <c r="C1628" s="505">
        <f>IF(D1610="","-",+C1627+1)</f>
        <v>2027</v>
      </c>
      <c r="D1628" s="941">
        <f t="shared" si="103"/>
        <v>4319958.2242063442</v>
      </c>
      <c r="E1628" s="942">
        <f t="shared" si="107"/>
        <v>142026.02380952382</v>
      </c>
      <c r="F1628" s="469">
        <f t="shared" si="102"/>
        <v>4177932.2003968204</v>
      </c>
      <c r="G1628" s="935">
        <f t="shared" si="104"/>
        <v>779224.47661208606</v>
      </c>
      <c r="H1628" s="938">
        <f t="shared" si="105"/>
        <v>779224.47661208606</v>
      </c>
      <c r="I1628" s="509">
        <f t="shared" si="106"/>
        <v>0</v>
      </c>
      <c r="J1628" s="509"/>
      <c r="K1628" s="640"/>
      <c r="L1628" s="514"/>
      <c r="M1628" s="640"/>
      <c r="N1628" s="514"/>
      <c r="O1628" s="514"/>
    </row>
    <row r="1629" spans="3:15">
      <c r="C1629" s="505">
        <f>IF(D1610="","-",+C1628+1)</f>
        <v>2028</v>
      </c>
      <c r="D1629" s="941">
        <f t="shared" si="103"/>
        <v>4177932.2003968204</v>
      </c>
      <c r="E1629" s="942">
        <f t="shared" si="107"/>
        <v>142026.02380952382</v>
      </c>
      <c r="F1629" s="469">
        <f t="shared" si="102"/>
        <v>4035906.1765872966</v>
      </c>
      <c r="G1629" s="935">
        <f t="shared" si="104"/>
        <v>757925.36398358818</v>
      </c>
      <c r="H1629" s="938">
        <f t="shared" si="105"/>
        <v>757925.36398358818</v>
      </c>
      <c r="I1629" s="509">
        <f t="shared" si="106"/>
        <v>0</v>
      </c>
      <c r="J1629" s="509"/>
      <c r="K1629" s="640"/>
      <c r="L1629" s="514"/>
      <c r="M1629" s="640"/>
      <c r="N1629" s="514"/>
      <c r="O1629" s="514"/>
    </row>
    <row r="1630" spans="3:15">
      <c r="C1630" s="505">
        <f>IF(D1610="","-",+C1629+1)</f>
        <v>2029</v>
      </c>
      <c r="D1630" s="941">
        <f t="shared" si="103"/>
        <v>4035906.1765872966</v>
      </c>
      <c r="E1630" s="942">
        <f t="shared" si="107"/>
        <v>142026.02380952382</v>
      </c>
      <c r="F1630" s="469">
        <f t="shared" si="102"/>
        <v>3893880.1527777729</v>
      </c>
      <c r="G1630" s="935">
        <f t="shared" si="104"/>
        <v>736626.25135509018</v>
      </c>
      <c r="H1630" s="938">
        <f t="shared" si="105"/>
        <v>736626.25135509018</v>
      </c>
      <c r="I1630" s="509">
        <f t="shared" si="106"/>
        <v>0</v>
      </c>
      <c r="J1630" s="509"/>
      <c r="K1630" s="640"/>
      <c r="L1630" s="514"/>
      <c r="M1630" s="640"/>
      <c r="N1630" s="514"/>
      <c r="O1630" s="514"/>
    </row>
    <row r="1631" spans="3:15">
      <c r="C1631" s="505">
        <f>IF(D1610="","-",+C1630+1)</f>
        <v>2030</v>
      </c>
      <c r="D1631" s="941">
        <f t="shared" si="103"/>
        <v>3893880.1527777729</v>
      </c>
      <c r="E1631" s="942">
        <f t="shared" si="107"/>
        <v>142026.02380952382</v>
      </c>
      <c r="F1631" s="469">
        <f t="shared" si="102"/>
        <v>3751854.1289682491</v>
      </c>
      <c r="G1631" s="935">
        <f t="shared" si="104"/>
        <v>715327.1387265923</v>
      </c>
      <c r="H1631" s="938">
        <f t="shared" si="105"/>
        <v>715327.1387265923</v>
      </c>
      <c r="I1631" s="509">
        <f t="shared" si="106"/>
        <v>0</v>
      </c>
      <c r="J1631" s="509"/>
      <c r="K1631" s="640"/>
      <c r="L1631" s="514"/>
      <c r="M1631" s="640"/>
      <c r="N1631" s="514"/>
      <c r="O1631" s="514"/>
    </row>
    <row r="1632" spans="3:15">
      <c r="C1632" s="505">
        <f>IF(D1610="","-",+C1631+1)</f>
        <v>2031</v>
      </c>
      <c r="D1632" s="941">
        <f t="shared" si="103"/>
        <v>3751854.1289682491</v>
      </c>
      <c r="E1632" s="942">
        <f t="shared" si="107"/>
        <v>142026.02380952382</v>
      </c>
      <c r="F1632" s="469">
        <f t="shared" si="102"/>
        <v>3609828.1051587253</v>
      </c>
      <c r="G1632" s="935">
        <f t="shared" si="104"/>
        <v>694028.0260980943</v>
      </c>
      <c r="H1632" s="938">
        <f t="shared" si="105"/>
        <v>694028.0260980943</v>
      </c>
      <c r="I1632" s="509">
        <f t="shared" si="106"/>
        <v>0</v>
      </c>
      <c r="J1632" s="509"/>
      <c r="K1632" s="640"/>
      <c r="L1632" s="514"/>
      <c r="M1632" s="640"/>
      <c r="N1632" s="514"/>
      <c r="O1632" s="514"/>
    </row>
    <row r="1633" spans="3:15">
      <c r="C1633" s="505">
        <f>IF(D1610="","-",+C1632+1)</f>
        <v>2032</v>
      </c>
      <c r="D1633" s="941">
        <f t="shared" si="103"/>
        <v>3609828.1051587253</v>
      </c>
      <c r="E1633" s="942">
        <f t="shared" si="107"/>
        <v>142026.02380952382</v>
      </c>
      <c r="F1633" s="469">
        <f t="shared" si="102"/>
        <v>3467802.0813492015</v>
      </c>
      <c r="G1633" s="935">
        <f t="shared" si="104"/>
        <v>672728.91346959653</v>
      </c>
      <c r="H1633" s="938">
        <f t="shared" si="105"/>
        <v>672728.91346959653</v>
      </c>
      <c r="I1633" s="509">
        <f t="shared" si="106"/>
        <v>0</v>
      </c>
      <c r="J1633" s="509"/>
      <c r="K1633" s="640"/>
      <c r="L1633" s="514"/>
      <c r="M1633" s="640"/>
      <c r="N1633" s="514"/>
      <c r="O1633" s="514"/>
    </row>
    <row r="1634" spans="3:15">
      <c r="C1634" s="505">
        <f>IF(D1610="","-",+C1633+1)</f>
        <v>2033</v>
      </c>
      <c r="D1634" s="941">
        <f t="shared" si="103"/>
        <v>3467802.0813492015</v>
      </c>
      <c r="E1634" s="942">
        <f t="shared" si="107"/>
        <v>142026.02380952382</v>
      </c>
      <c r="F1634" s="469">
        <f t="shared" si="102"/>
        <v>3325776.0575396777</v>
      </c>
      <c r="G1634" s="935">
        <f t="shared" si="104"/>
        <v>651429.80084109853</v>
      </c>
      <c r="H1634" s="938">
        <f t="shared" si="105"/>
        <v>651429.80084109853</v>
      </c>
      <c r="I1634" s="509">
        <f t="shared" si="106"/>
        <v>0</v>
      </c>
      <c r="J1634" s="509"/>
      <c r="K1634" s="640"/>
      <c r="L1634" s="514"/>
      <c r="M1634" s="640"/>
      <c r="N1634" s="514"/>
      <c r="O1634" s="514"/>
    </row>
    <row r="1635" spans="3:15">
      <c r="C1635" s="505">
        <f>IF(D1610="","-",+C1634+1)</f>
        <v>2034</v>
      </c>
      <c r="D1635" s="941">
        <f t="shared" si="103"/>
        <v>3325776.0575396777</v>
      </c>
      <c r="E1635" s="942">
        <f t="shared" si="107"/>
        <v>142026.02380952382</v>
      </c>
      <c r="F1635" s="469">
        <f t="shared" si="102"/>
        <v>3183750.0337301539</v>
      </c>
      <c r="G1635" s="935">
        <f t="shared" si="104"/>
        <v>630130.68821260065</v>
      </c>
      <c r="H1635" s="938">
        <f t="shared" si="105"/>
        <v>630130.68821260065</v>
      </c>
      <c r="I1635" s="509">
        <f t="shared" si="106"/>
        <v>0</v>
      </c>
      <c r="J1635" s="509"/>
      <c r="K1635" s="640"/>
      <c r="L1635" s="514"/>
      <c r="M1635" s="640"/>
      <c r="N1635" s="514"/>
      <c r="O1635" s="514"/>
    </row>
    <row r="1636" spans="3:15">
      <c r="C1636" s="505">
        <f>IF(D1610="","-",+C1635+1)</f>
        <v>2035</v>
      </c>
      <c r="D1636" s="941">
        <f t="shared" si="103"/>
        <v>3183750.0337301539</v>
      </c>
      <c r="E1636" s="942">
        <f t="shared" si="107"/>
        <v>142026.02380952382</v>
      </c>
      <c r="F1636" s="469">
        <f t="shared" si="102"/>
        <v>3041724.0099206301</v>
      </c>
      <c r="G1636" s="935">
        <f t="shared" si="104"/>
        <v>608831.57558410265</v>
      </c>
      <c r="H1636" s="938">
        <f t="shared" si="105"/>
        <v>608831.57558410265</v>
      </c>
      <c r="I1636" s="509">
        <f t="shared" si="106"/>
        <v>0</v>
      </c>
      <c r="J1636" s="509"/>
      <c r="K1636" s="640"/>
      <c r="L1636" s="514"/>
      <c r="M1636" s="640"/>
      <c r="N1636" s="514"/>
      <c r="O1636" s="514"/>
    </row>
    <row r="1637" spans="3:15">
      <c r="C1637" s="505">
        <f>IF(D1610="","-",+C1636+1)</f>
        <v>2036</v>
      </c>
      <c r="D1637" s="941">
        <f t="shared" si="103"/>
        <v>3041724.0099206301</v>
      </c>
      <c r="E1637" s="942">
        <f t="shared" si="107"/>
        <v>142026.02380952382</v>
      </c>
      <c r="F1637" s="469">
        <f t="shared" si="102"/>
        <v>2899697.9861111064</v>
      </c>
      <c r="G1637" s="935">
        <f t="shared" si="104"/>
        <v>587532.46295560477</v>
      </c>
      <c r="H1637" s="938">
        <f t="shared" si="105"/>
        <v>587532.46295560477</v>
      </c>
      <c r="I1637" s="509">
        <f t="shared" si="106"/>
        <v>0</v>
      </c>
      <c r="J1637" s="509"/>
      <c r="K1637" s="640"/>
      <c r="L1637" s="514"/>
      <c r="M1637" s="640"/>
      <c r="N1637" s="514"/>
      <c r="O1637" s="514"/>
    </row>
    <row r="1638" spans="3:15">
      <c r="C1638" s="505">
        <f>IF(D1610="","-",+C1637+1)</f>
        <v>2037</v>
      </c>
      <c r="D1638" s="941">
        <f t="shared" si="103"/>
        <v>2899697.9861111064</v>
      </c>
      <c r="E1638" s="942">
        <f t="shared" si="107"/>
        <v>142026.02380952382</v>
      </c>
      <c r="F1638" s="469">
        <f t="shared" si="102"/>
        <v>2757671.9623015826</v>
      </c>
      <c r="G1638" s="935">
        <f t="shared" si="104"/>
        <v>566233.35032710677</v>
      </c>
      <c r="H1638" s="938">
        <f t="shared" si="105"/>
        <v>566233.35032710677</v>
      </c>
      <c r="I1638" s="509">
        <f t="shared" si="106"/>
        <v>0</v>
      </c>
      <c r="J1638" s="509"/>
      <c r="K1638" s="640"/>
      <c r="L1638" s="514"/>
      <c r="M1638" s="640"/>
      <c r="N1638" s="514"/>
      <c r="O1638" s="514"/>
    </row>
    <row r="1639" spans="3:15">
      <c r="C1639" s="505">
        <f>IF(D1610="","-",+C1638+1)</f>
        <v>2038</v>
      </c>
      <c r="D1639" s="941">
        <f t="shared" si="103"/>
        <v>2757671.9623015826</v>
      </c>
      <c r="E1639" s="942">
        <f t="shared" si="107"/>
        <v>142026.02380952382</v>
      </c>
      <c r="F1639" s="469">
        <f t="shared" si="102"/>
        <v>2615645.9384920588</v>
      </c>
      <c r="G1639" s="935">
        <f t="shared" si="104"/>
        <v>544934.23769860901</v>
      </c>
      <c r="H1639" s="938">
        <f t="shared" si="105"/>
        <v>544934.23769860901</v>
      </c>
      <c r="I1639" s="509">
        <f t="shared" si="106"/>
        <v>0</v>
      </c>
      <c r="J1639" s="509"/>
      <c r="K1639" s="640"/>
      <c r="L1639" s="514"/>
      <c r="M1639" s="640"/>
      <c r="N1639" s="514"/>
      <c r="O1639" s="514"/>
    </row>
    <row r="1640" spans="3:15">
      <c r="C1640" s="505">
        <f>IF(D1610="","-",+C1639+1)</f>
        <v>2039</v>
      </c>
      <c r="D1640" s="941">
        <f t="shared" si="103"/>
        <v>2615645.9384920588</v>
      </c>
      <c r="E1640" s="942">
        <f t="shared" si="107"/>
        <v>142026.02380952382</v>
      </c>
      <c r="F1640" s="469">
        <f t="shared" si="102"/>
        <v>2473619.914682535</v>
      </c>
      <c r="G1640" s="935">
        <f t="shared" si="104"/>
        <v>523635.12507011101</v>
      </c>
      <c r="H1640" s="938">
        <f t="shared" si="105"/>
        <v>523635.12507011101</v>
      </c>
      <c r="I1640" s="509">
        <f t="shared" si="106"/>
        <v>0</v>
      </c>
      <c r="J1640" s="509"/>
      <c r="K1640" s="640"/>
      <c r="L1640" s="514"/>
      <c r="M1640" s="640"/>
      <c r="N1640" s="514"/>
      <c r="O1640" s="514"/>
    </row>
    <row r="1641" spans="3:15">
      <c r="C1641" s="505">
        <f>IF(D1610="","-",+C1640+1)</f>
        <v>2040</v>
      </c>
      <c r="D1641" s="941">
        <f t="shared" si="103"/>
        <v>2473619.914682535</v>
      </c>
      <c r="E1641" s="942">
        <f t="shared" si="107"/>
        <v>142026.02380952382</v>
      </c>
      <c r="F1641" s="469">
        <f t="shared" si="102"/>
        <v>2331593.8908730112</v>
      </c>
      <c r="G1641" s="935">
        <f t="shared" si="104"/>
        <v>502336.01244161313</v>
      </c>
      <c r="H1641" s="938">
        <f t="shared" si="105"/>
        <v>502336.01244161313</v>
      </c>
      <c r="I1641" s="509">
        <f t="shared" si="106"/>
        <v>0</v>
      </c>
      <c r="J1641" s="509"/>
      <c r="K1641" s="640"/>
      <c r="L1641" s="514"/>
      <c r="M1641" s="640"/>
      <c r="N1641" s="514"/>
      <c r="O1641" s="514"/>
    </row>
    <row r="1642" spans="3:15">
      <c r="C1642" s="505">
        <f>IF(D1610="","-",+C1641+1)</f>
        <v>2041</v>
      </c>
      <c r="D1642" s="941">
        <f t="shared" si="103"/>
        <v>2331593.8908730112</v>
      </c>
      <c r="E1642" s="942">
        <f t="shared" si="107"/>
        <v>142026.02380952382</v>
      </c>
      <c r="F1642" s="469">
        <f t="shared" si="102"/>
        <v>2189567.8670634874</v>
      </c>
      <c r="G1642" s="935">
        <f t="shared" si="104"/>
        <v>481036.89981311513</v>
      </c>
      <c r="H1642" s="938">
        <f t="shared" si="105"/>
        <v>481036.89981311513</v>
      </c>
      <c r="I1642" s="509">
        <f t="shared" si="106"/>
        <v>0</v>
      </c>
      <c r="J1642" s="509"/>
      <c r="K1642" s="640"/>
      <c r="L1642" s="514"/>
      <c r="M1642" s="640"/>
      <c r="N1642" s="514"/>
      <c r="O1642" s="514"/>
    </row>
    <row r="1643" spans="3:15">
      <c r="C1643" s="505">
        <f>IF(D1610="","-",+C1642+1)</f>
        <v>2042</v>
      </c>
      <c r="D1643" s="941">
        <f t="shared" si="103"/>
        <v>2189567.8670634874</v>
      </c>
      <c r="E1643" s="942">
        <f t="shared" si="107"/>
        <v>142026.02380952382</v>
      </c>
      <c r="F1643" s="469">
        <f t="shared" si="102"/>
        <v>2047541.8432539636</v>
      </c>
      <c r="G1643" s="935">
        <f t="shared" si="104"/>
        <v>459737.78718461725</v>
      </c>
      <c r="H1643" s="938">
        <f t="shared" si="105"/>
        <v>459737.78718461725</v>
      </c>
      <c r="I1643" s="509">
        <f t="shared" si="106"/>
        <v>0</v>
      </c>
      <c r="J1643" s="509"/>
      <c r="K1643" s="640"/>
      <c r="L1643" s="514"/>
      <c r="M1643" s="640"/>
      <c r="N1643" s="514"/>
      <c r="O1643" s="514"/>
    </row>
    <row r="1644" spans="3:15">
      <c r="C1644" s="505">
        <f>IF(D1610="","-",+C1643+1)</f>
        <v>2043</v>
      </c>
      <c r="D1644" s="941">
        <f t="shared" si="103"/>
        <v>2047541.8432539636</v>
      </c>
      <c r="E1644" s="942">
        <f t="shared" si="107"/>
        <v>142026.02380952382</v>
      </c>
      <c r="F1644" s="469">
        <f t="shared" si="102"/>
        <v>1905515.8194444398</v>
      </c>
      <c r="G1644" s="936">
        <f t="shared" si="104"/>
        <v>438438.67455611925</v>
      </c>
      <c r="H1644" s="938">
        <f t="shared" si="105"/>
        <v>438438.67455611925</v>
      </c>
      <c r="I1644" s="509">
        <f t="shared" si="106"/>
        <v>0</v>
      </c>
      <c r="J1644" s="509"/>
      <c r="K1644" s="640"/>
      <c r="L1644" s="514"/>
      <c r="M1644" s="640"/>
      <c r="N1644" s="514"/>
      <c r="O1644" s="514"/>
    </row>
    <row r="1645" spans="3:15">
      <c r="C1645" s="505">
        <f>IF(D1610="","-",+C1644+1)</f>
        <v>2044</v>
      </c>
      <c r="D1645" s="941">
        <f t="shared" si="103"/>
        <v>1905515.8194444398</v>
      </c>
      <c r="E1645" s="942">
        <f t="shared" si="107"/>
        <v>142026.02380952382</v>
      </c>
      <c r="F1645" s="469">
        <f t="shared" si="102"/>
        <v>1763489.7956349161</v>
      </c>
      <c r="G1645" s="935">
        <f t="shared" si="104"/>
        <v>417139.56192762137</v>
      </c>
      <c r="H1645" s="938">
        <f t="shared" si="105"/>
        <v>417139.56192762137</v>
      </c>
      <c r="I1645" s="509">
        <f t="shared" si="106"/>
        <v>0</v>
      </c>
      <c r="J1645" s="509"/>
      <c r="K1645" s="640"/>
      <c r="L1645" s="514"/>
      <c r="M1645" s="640"/>
      <c r="N1645" s="514"/>
      <c r="O1645" s="514"/>
    </row>
    <row r="1646" spans="3:15">
      <c r="C1646" s="505">
        <f>IF(D1610="","-",+C1645+1)</f>
        <v>2045</v>
      </c>
      <c r="D1646" s="941">
        <f t="shared" si="103"/>
        <v>1763489.7956349161</v>
      </c>
      <c r="E1646" s="942">
        <f t="shared" si="107"/>
        <v>142026.02380952382</v>
      </c>
      <c r="F1646" s="469">
        <f t="shared" si="102"/>
        <v>1621463.7718253923</v>
      </c>
      <c r="G1646" s="935">
        <f t="shared" si="104"/>
        <v>395840.44929912349</v>
      </c>
      <c r="H1646" s="938">
        <f t="shared" si="105"/>
        <v>395840.44929912349</v>
      </c>
      <c r="I1646" s="509">
        <f t="shared" si="106"/>
        <v>0</v>
      </c>
      <c r="J1646" s="509"/>
      <c r="K1646" s="640"/>
      <c r="L1646" s="514"/>
      <c r="M1646" s="640"/>
      <c r="N1646" s="514"/>
      <c r="O1646" s="514"/>
    </row>
    <row r="1647" spans="3:15">
      <c r="C1647" s="505">
        <f>IF(D1610="","-",+C1646+1)</f>
        <v>2046</v>
      </c>
      <c r="D1647" s="941">
        <f t="shared" si="103"/>
        <v>1621463.7718253923</v>
      </c>
      <c r="E1647" s="942">
        <f t="shared" si="107"/>
        <v>142026.02380952382</v>
      </c>
      <c r="F1647" s="469">
        <f t="shared" si="102"/>
        <v>1479437.7480158685</v>
      </c>
      <c r="G1647" s="935">
        <f t="shared" si="104"/>
        <v>374541.33667062549</v>
      </c>
      <c r="H1647" s="938">
        <f t="shared" si="105"/>
        <v>374541.33667062549</v>
      </c>
      <c r="I1647" s="509">
        <f t="shared" si="106"/>
        <v>0</v>
      </c>
      <c r="J1647" s="509"/>
      <c r="K1647" s="640"/>
      <c r="L1647" s="514"/>
      <c r="M1647" s="640"/>
      <c r="N1647" s="514"/>
      <c r="O1647" s="514"/>
    </row>
    <row r="1648" spans="3:15">
      <c r="C1648" s="505">
        <f>IF(D1610="","-",+C1647+1)</f>
        <v>2047</v>
      </c>
      <c r="D1648" s="941">
        <f t="shared" si="103"/>
        <v>1479437.7480158685</v>
      </c>
      <c r="E1648" s="942">
        <f t="shared" si="107"/>
        <v>142026.02380952382</v>
      </c>
      <c r="F1648" s="469">
        <f t="shared" si="102"/>
        <v>1337411.7242063447</v>
      </c>
      <c r="G1648" s="935">
        <f t="shared" si="104"/>
        <v>353242.22404212761</v>
      </c>
      <c r="H1648" s="938">
        <f t="shared" si="105"/>
        <v>353242.22404212761</v>
      </c>
      <c r="I1648" s="509">
        <f t="shared" si="106"/>
        <v>0</v>
      </c>
      <c r="J1648" s="509"/>
      <c r="K1648" s="640"/>
      <c r="L1648" s="514"/>
      <c r="M1648" s="640"/>
      <c r="N1648" s="514"/>
      <c r="O1648" s="514"/>
    </row>
    <row r="1649" spans="3:15">
      <c r="C1649" s="505">
        <f>IF(D1610="","-",+C1648+1)</f>
        <v>2048</v>
      </c>
      <c r="D1649" s="941">
        <f t="shared" si="103"/>
        <v>1337411.7242063447</v>
      </c>
      <c r="E1649" s="942">
        <f t="shared" si="107"/>
        <v>142026.02380952382</v>
      </c>
      <c r="F1649" s="469">
        <f t="shared" si="102"/>
        <v>1195385.7003968209</v>
      </c>
      <c r="G1649" s="935">
        <f t="shared" si="104"/>
        <v>331943.11141362967</v>
      </c>
      <c r="H1649" s="938">
        <f t="shared" si="105"/>
        <v>331943.11141362967</v>
      </c>
      <c r="I1649" s="509">
        <f t="shared" si="106"/>
        <v>0</v>
      </c>
      <c r="J1649" s="509"/>
      <c r="K1649" s="640"/>
      <c r="L1649" s="514"/>
      <c r="M1649" s="640"/>
      <c r="N1649" s="514"/>
      <c r="O1649" s="514"/>
    </row>
    <row r="1650" spans="3:15">
      <c r="C1650" s="505">
        <f>IF(D1610="","-",+C1649+1)</f>
        <v>2049</v>
      </c>
      <c r="D1650" s="941">
        <f t="shared" si="103"/>
        <v>1195385.7003968209</v>
      </c>
      <c r="E1650" s="942">
        <f t="shared" si="107"/>
        <v>142026.02380952382</v>
      </c>
      <c r="F1650" s="469">
        <f t="shared" si="102"/>
        <v>1053359.6765872971</v>
      </c>
      <c r="G1650" s="935">
        <f t="shared" si="104"/>
        <v>310643.99878513173</v>
      </c>
      <c r="H1650" s="938">
        <f t="shared" si="105"/>
        <v>310643.99878513173</v>
      </c>
      <c r="I1650" s="509">
        <f t="shared" si="106"/>
        <v>0</v>
      </c>
      <c r="J1650" s="509"/>
      <c r="K1650" s="640"/>
      <c r="L1650" s="514"/>
      <c r="M1650" s="640"/>
      <c r="N1650" s="514"/>
      <c r="O1650" s="514"/>
    </row>
    <row r="1651" spans="3:15">
      <c r="C1651" s="505">
        <f>IF(D1610="","-",+C1650+1)</f>
        <v>2050</v>
      </c>
      <c r="D1651" s="941">
        <f t="shared" si="103"/>
        <v>1053359.6765872971</v>
      </c>
      <c r="E1651" s="942">
        <f t="shared" si="107"/>
        <v>142026.02380952382</v>
      </c>
      <c r="F1651" s="469">
        <f t="shared" si="102"/>
        <v>911333.65277777333</v>
      </c>
      <c r="G1651" s="935">
        <f t="shared" si="104"/>
        <v>289344.88615663385</v>
      </c>
      <c r="H1651" s="938">
        <f t="shared" si="105"/>
        <v>289344.88615663385</v>
      </c>
      <c r="I1651" s="509">
        <f t="shared" si="106"/>
        <v>0</v>
      </c>
      <c r="J1651" s="509"/>
      <c r="K1651" s="640"/>
      <c r="L1651" s="514"/>
      <c r="M1651" s="640"/>
      <c r="N1651" s="514"/>
      <c r="O1651" s="514"/>
    </row>
    <row r="1652" spans="3:15">
      <c r="C1652" s="505">
        <f>IF(D1610="","-",+C1651+1)</f>
        <v>2051</v>
      </c>
      <c r="D1652" s="941">
        <f t="shared" si="103"/>
        <v>911333.65277777333</v>
      </c>
      <c r="E1652" s="942">
        <f t="shared" si="107"/>
        <v>142026.02380952382</v>
      </c>
      <c r="F1652" s="469">
        <f t="shared" si="102"/>
        <v>769307.62896824954</v>
      </c>
      <c r="G1652" s="935">
        <f t="shared" si="104"/>
        <v>268045.77352813591</v>
      </c>
      <c r="H1652" s="938">
        <f t="shared" si="105"/>
        <v>268045.77352813591</v>
      </c>
      <c r="I1652" s="509">
        <f t="shared" si="106"/>
        <v>0</v>
      </c>
      <c r="J1652" s="509"/>
      <c r="K1652" s="640"/>
      <c r="L1652" s="514"/>
      <c r="M1652" s="640"/>
      <c r="N1652" s="514"/>
      <c r="O1652" s="514"/>
    </row>
    <row r="1653" spans="3:15">
      <c r="C1653" s="505">
        <f>IF(D1610="","-",+C1652+1)</f>
        <v>2052</v>
      </c>
      <c r="D1653" s="941">
        <f t="shared" si="103"/>
        <v>769307.62896824954</v>
      </c>
      <c r="E1653" s="942">
        <f t="shared" si="107"/>
        <v>142026.02380952382</v>
      </c>
      <c r="F1653" s="469">
        <f t="shared" si="102"/>
        <v>627281.60515872575</v>
      </c>
      <c r="G1653" s="935">
        <f t="shared" si="104"/>
        <v>246746.66089963797</v>
      </c>
      <c r="H1653" s="938">
        <f t="shared" si="105"/>
        <v>246746.66089963797</v>
      </c>
      <c r="I1653" s="509">
        <f t="shared" si="106"/>
        <v>0</v>
      </c>
      <c r="J1653" s="509"/>
      <c r="K1653" s="640"/>
      <c r="L1653" s="514"/>
      <c r="M1653" s="640"/>
      <c r="N1653" s="514"/>
      <c r="O1653" s="514"/>
    </row>
    <row r="1654" spans="3:15">
      <c r="C1654" s="505">
        <f>IF(D1610="","-",+C1653+1)</f>
        <v>2053</v>
      </c>
      <c r="D1654" s="941">
        <f t="shared" si="103"/>
        <v>627281.60515872575</v>
      </c>
      <c r="E1654" s="942">
        <f t="shared" si="107"/>
        <v>142026.02380952382</v>
      </c>
      <c r="F1654" s="469">
        <f t="shared" si="102"/>
        <v>485255.58134920197</v>
      </c>
      <c r="G1654" s="935">
        <f t="shared" si="104"/>
        <v>225447.54827114003</v>
      </c>
      <c r="H1654" s="938">
        <f t="shared" si="105"/>
        <v>225447.54827114003</v>
      </c>
      <c r="I1654" s="509">
        <f t="shared" si="106"/>
        <v>0</v>
      </c>
      <c r="J1654" s="509"/>
      <c r="K1654" s="640"/>
      <c r="L1654" s="514"/>
      <c r="M1654" s="640"/>
      <c r="N1654" s="514"/>
      <c r="O1654" s="514"/>
    </row>
    <row r="1655" spans="3:15">
      <c r="C1655" s="505">
        <f>IF(D1610="","-",+C1654+1)</f>
        <v>2054</v>
      </c>
      <c r="D1655" s="941">
        <f t="shared" si="103"/>
        <v>485255.58134920197</v>
      </c>
      <c r="E1655" s="942">
        <f t="shared" si="107"/>
        <v>142026.02380952382</v>
      </c>
      <c r="F1655" s="469">
        <f t="shared" si="102"/>
        <v>343229.55753967818</v>
      </c>
      <c r="G1655" s="935">
        <f t="shared" si="104"/>
        <v>204148.43564264211</v>
      </c>
      <c r="H1655" s="938">
        <f t="shared" si="105"/>
        <v>204148.43564264211</v>
      </c>
      <c r="I1655" s="509">
        <f t="shared" si="106"/>
        <v>0</v>
      </c>
      <c r="J1655" s="509"/>
      <c r="K1655" s="640"/>
      <c r="L1655" s="514"/>
      <c r="M1655" s="640"/>
      <c r="N1655" s="514"/>
      <c r="O1655" s="514"/>
    </row>
    <row r="1656" spans="3:15">
      <c r="C1656" s="505">
        <f>IF(D1610="","-",+C1655+1)</f>
        <v>2055</v>
      </c>
      <c r="D1656" s="941">
        <f t="shared" si="103"/>
        <v>343229.55753967818</v>
      </c>
      <c r="E1656" s="942">
        <f t="shared" si="107"/>
        <v>142026.02380952382</v>
      </c>
      <c r="F1656" s="469">
        <f t="shared" si="102"/>
        <v>201203.53373015436</v>
      </c>
      <c r="G1656" s="935">
        <f t="shared" si="104"/>
        <v>182849.3230141442</v>
      </c>
      <c r="H1656" s="938">
        <f t="shared" si="105"/>
        <v>182849.3230141442</v>
      </c>
      <c r="I1656" s="509">
        <f t="shared" si="106"/>
        <v>0</v>
      </c>
      <c r="J1656" s="509"/>
      <c r="K1656" s="640"/>
      <c r="L1656" s="514"/>
      <c r="M1656" s="640"/>
      <c r="N1656" s="514"/>
      <c r="O1656" s="514"/>
    </row>
    <row r="1657" spans="3:15">
      <c r="C1657" s="505">
        <f>IF(D1610="","-",+C1656+1)</f>
        <v>2056</v>
      </c>
      <c r="D1657" s="941">
        <f t="shared" si="103"/>
        <v>201203.53373015436</v>
      </c>
      <c r="E1657" s="942">
        <f t="shared" si="107"/>
        <v>142026.02380952382</v>
      </c>
      <c r="F1657" s="469">
        <f t="shared" si="102"/>
        <v>59177.509920630546</v>
      </c>
      <c r="G1657" s="935">
        <f t="shared" si="104"/>
        <v>161550.21038564626</v>
      </c>
      <c r="H1657" s="938">
        <f t="shared" si="105"/>
        <v>161550.21038564626</v>
      </c>
      <c r="I1657" s="509">
        <f t="shared" si="106"/>
        <v>0</v>
      </c>
      <c r="J1657" s="509"/>
      <c r="K1657" s="640"/>
      <c r="L1657" s="514"/>
      <c r="M1657" s="640"/>
      <c r="N1657" s="514"/>
      <c r="O1657" s="514"/>
    </row>
    <row r="1658" spans="3:15">
      <c r="C1658" s="505">
        <f>IF(D1610="","-",+C1657+1)</f>
        <v>2057</v>
      </c>
      <c r="D1658" s="941">
        <f t="shared" si="103"/>
        <v>59177.509920630546</v>
      </c>
      <c r="E1658" s="942">
        <f t="shared" si="107"/>
        <v>59177.509920630546</v>
      </c>
      <c r="F1658" s="469">
        <f t="shared" si="102"/>
        <v>0</v>
      </c>
      <c r="G1658" s="935">
        <f t="shared" si="104"/>
        <v>63614.825051567284</v>
      </c>
      <c r="H1658" s="938">
        <f t="shared" si="105"/>
        <v>63614.825051567284</v>
      </c>
      <c r="I1658" s="509">
        <f t="shared" si="106"/>
        <v>0</v>
      </c>
      <c r="J1658" s="509"/>
      <c r="K1658" s="640"/>
      <c r="L1658" s="514"/>
      <c r="M1658" s="640"/>
      <c r="N1658" s="514"/>
      <c r="O1658" s="514"/>
    </row>
    <row r="1659" spans="3:15">
      <c r="C1659" s="505">
        <f>IF(D1610="","-",+C1658+1)</f>
        <v>2058</v>
      </c>
      <c r="D1659" s="941">
        <f t="shared" si="103"/>
        <v>0</v>
      </c>
      <c r="E1659" s="942">
        <f t="shared" si="107"/>
        <v>0</v>
      </c>
      <c r="F1659" s="469">
        <f t="shared" si="102"/>
        <v>0</v>
      </c>
      <c r="G1659" s="935">
        <f t="shared" si="104"/>
        <v>0</v>
      </c>
      <c r="H1659" s="938">
        <f t="shared" si="105"/>
        <v>0</v>
      </c>
      <c r="I1659" s="509">
        <f t="shared" si="106"/>
        <v>0</v>
      </c>
      <c r="J1659" s="509"/>
      <c r="K1659" s="640"/>
      <c r="L1659" s="514"/>
      <c r="M1659" s="640"/>
      <c r="N1659" s="514"/>
      <c r="O1659" s="514"/>
    </row>
    <row r="1660" spans="3:15">
      <c r="C1660" s="505">
        <f>IF(D1610="","-",+C1659+1)</f>
        <v>2059</v>
      </c>
      <c r="D1660" s="941">
        <f t="shared" si="103"/>
        <v>0</v>
      </c>
      <c r="E1660" s="942">
        <f t="shared" si="107"/>
        <v>0</v>
      </c>
      <c r="F1660" s="469">
        <f t="shared" si="102"/>
        <v>0</v>
      </c>
      <c r="G1660" s="935">
        <f t="shared" si="104"/>
        <v>0</v>
      </c>
      <c r="H1660" s="938">
        <f t="shared" si="105"/>
        <v>0</v>
      </c>
      <c r="I1660" s="509">
        <f t="shared" si="106"/>
        <v>0</v>
      </c>
      <c r="J1660" s="509"/>
      <c r="K1660" s="640"/>
      <c r="L1660" s="514"/>
      <c r="M1660" s="640"/>
      <c r="N1660" s="514"/>
      <c r="O1660" s="514"/>
    </row>
    <row r="1661" spans="3:15">
      <c r="C1661" s="505">
        <f>IF(D1610="","-",+C1660+1)</f>
        <v>2060</v>
      </c>
      <c r="D1661" s="941">
        <f t="shared" si="103"/>
        <v>0</v>
      </c>
      <c r="E1661" s="942">
        <f t="shared" si="107"/>
        <v>0</v>
      </c>
      <c r="F1661" s="469">
        <f t="shared" si="102"/>
        <v>0</v>
      </c>
      <c r="G1661" s="935">
        <f t="shared" si="104"/>
        <v>0</v>
      </c>
      <c r="H1661" s="938">
        <f t="shared" si="105"/>
        <v>0</v>
      </c>
      <c r="I1661" s="509">
        <f t="shared" si="106"/>
        <v>0</v>
      </c>
      <c r="J1661" s="509"/>
      <c r="K1661" s="640"/>
      <c r="L1661" s="514"/>
      <c r="M1661" s="640"/>
      <c r="N1661" s="514"/>
      <c r="O1661" s="514"/>
    </row>
    <row r="1662" spans="3:15">
      <c r="C1662" s="505">
        <f>IF(D1610="","-",+C1661+1)</f>
        <v>2061</v>
      </c>
      <c r="D1662" s="469">
        <f t="shared" si="103"/>
        <v>0</v>
      </c>
      <c r="E1662" s="511">
        <f t="shared" si="107"/>
        <v>0</v>
      </c>
      <c r="F1662" s="469">
        <f t="shared" si="102"/>
        <v>0</v>
      </c>
      <c r="G1662" s="935">
        <f t="shared" si="104"/>
        <v>0</v>
      </c>
      <c r="H1662" s="938">
        <f t="shared" si="105"/>
        <v>0</v>
      </c>
      <c r="I1662" s="509">
        <f t="shared" si="106"/>
        <v>0</v>
      </c>
      <c r="J1662" s="509"/>
      <c r="K1662" s="640"/>
      <c r="L1662" s="514"/>
      <c r="M1662" s="640"/>
      <c r="N1662" s="514"/>
      <c r="O1662" s="514"/>
    </row>
    <row r="1663" spans="3:15">
      <c r="C1663" s="505">
        <f>IF(D1610="","-",+C1662+1)</f>
        <v>2062</v>
      </c>
      <c r="D1663" s="469">
        <f t="shared" si="103"/>
        <v>0</v>
      </c>
      <c r="E1663" s="511">
        <f t="shared" si="107"/>
        <v>0</v>
      </c>
      <c r="F1663" s="469">
        <f t="shared" si="102"/>
        <v>0</v>
      </c>
      <c r="G1663" s="935">
        <f t="shared" si="104"/>
        <v>0</v>
      </c>
      <c r="H1663" s="938">
        <f t="shared" si="105"/>
        <v>0</v>
      </c>
      <c r="I1663" s="509">
        <f t="shared" si="106"/>
        <v>0</v>
      </c>
      <c r="J1663" s="509"/>
      <c r="K1663" s="640"/>
      <c r="L1663" s="514"/>
      <c r="M1663" s="640"/>
      <c r="N1663" s="514"/>
      <c r="O1663" s="514"/>
    </row>
    <row r="1664" spans="3:15">
      <c r="C1664" s="505">
        <f>IF(D1610="","-",+C1663+1)</f>
        <v>2063</v>
      </c>
      <c r="D1664" s="469">
        <f t="shared" si="103"/>
        <v>0</v>
      </c>
      <c r="E1664" s="511">
        <f t="shared" si="107"/>
        <v>0</v>
      </c>
      <c r="F1664" s="469">
        <f t="shared" si="102"/>
        <v>0</v>
      </c>
      <c r="G1664" s="935">
        <f t="shared" si="104"/>
        <v>0</v>
      </c>
      <c r="H1664" s="938">
        <f t="shared" si="105"/>
        <v>0</v>
      </c>
      <c r="I1664" s="509">
        <f t="shared" si="106"/>
        <v>0</v>
      </c>
      <c r="J1664" s="509"/>
      <c r="K1664" s="640"/>
      <c r="L1664" s="514"/>
      <c r="M1664" s="640"/>
      <c r="N1664" s="514"/>
      <c r="O1664" s="514"/>
    </row>
    <row r="1665" spans="3:15">
      <c r="C1665" s="505">
        <f>IF(D1610="","-",+C1664+1)</f>
        <v>2064</v>
      </c>
      <c r="D1665" s="469">
        <f t="shared" si="103"/>
        <v>0</v>
      </c>
      <c r="E1665" s="511">
        <f t="shared" si="107"/>
        <v>0</v>
      </c>
      <c r="F1665" s="469">
        <f t="shared" si="102"/>
        <v>0</v>
      </c>
      <c r="G1665" s="935">
        <f t="shared" si="104"/>
        <v>0</v>
      </c>
      <c r="H1665" s="938">
        <f t="shared" si="105"/>
        <v>0</v>
      </c>
      <c r="I1665" s="509">
        <f t="shared" si="106"/>
        <v>0</v>
      </c>
      <c r="J1665" s="509"/>
      <c r="K1665" s="640"/>
      <c r="L1665" s="514"/>
      <c r="M1665" s="640"/>
      <c r="N1665" s="514"/>
      <c r="O1665" s="514"/>
    </row>
    <row r="1666" spans="3:15">
      <c r="C1666" s="505">
        <f>IF(D1610="","-",+C1665+1)</f>
        <v>2065</v>
      </c>
      <c r="D1666" s="469">
        <f t="shared" si="103"/>
        <v>0</v>
      </c>
      <c r="E1666" s="511">
        <f t="shared" si="107"/>
        <v>0</v>
      </c>
      <c r="F1666" s="469">
        <f t="shared" si="102"/>
        <v>0</v>
      </c>
      <c r="G1666" s="935">
        <f t="shared" si="104"/>
        <v>0</v>
      </c>
      <c r="H1666" s="938">
        <f t="shared" si="105"/>
        <v>0</v>
      </c>
      <c r="I1666" s="509">
        <f t="shared" si="106"/>
        <v>0</v>
      </c>
      <c r="J1666" s="509"/>
      <c r="K1666" s="640"/>
      <c r="L1666" s="514"/>
      <c r="M1666" s="640"/>
      <c r="N1666" s="514"/>
      <c r="O1666" s="514"/>
    </row>
    <row r="1667" spans="3:15">
      <c r="C1667" s="505">
        <f>IF(D1610="","-",+C1666+1)</f>
        <v>2066</v>
      </c>
      <c r="D1667" s="469">
        <f t="shared" si="103"/>
        <v>0</v>
      </c>
      <c r="E1667" s="511">
        <f t="shared" si="107"/>
        <v>0</v>
      </c>
      <c r="F1667" s="469">
        <f t="shared" si="102"/>
        <v>0</v>
      </c>
      <c r="G1667" s="935">
        <f t="shared" si="104"/>
        <v>0</v>
      </c>
      <c r="H1667" s="938">
        <f t="shared" si="105"/>
        <v>0</v>
      </c>
      <c r="I1667" s="509">
        <f t="shared" si="106"/>
        <v>0</v>
      </c>
      <c r="J1667" s="509"/>
      <c r="K1667" s="640"/>
      <c r="L1667" s="514"/>
      <c r="M1667" s="640"/>
      <c r="N1667" s="514"/>
      <c r="O1667" s="514"/>
    </row>
    <row r="1668" spans="3:15">
      <c r="C1668" s="505">
        <f>IF(D1610="","-",+C1667+1)</f>
        <v>2067</v>
      </c>
      <c r="D1668" s="469">
        <f t="shared" si="103"/>
        <v>0</v>
      </c>
      <c r="E1668" s="511">
        <f t="shared" si="107"/>
        <v>0</v>
      </c>
      <c r="F1668" s="469">
        <f t="shared" si="102"/>
        <v>0</v>
      </c>
      <c r="G1668" s="935">
        <f t="shared" si="104"/>
        <v>0</v>
      </c>
      <c r="H1668" s="938">
        <f t="shared" si="105"/>
        <v>0</v>
      </c>
      <c r="I1668" s="509">
        <f t="shared" si="106"/>
        <v>0</v>
      </c>
      <c r="J1668" s="509"/>
      <c r="K1668" s="640"/>
      <c r="L1668" s="514"/>
      <c r="M1668" s="640"/>
      <c r="N1668" s="514"/>
      <c r="O1668" s="514"/>
    </row>
    <row r="1669" spans="3:15">
      <c r="C1669" s="505">
        <f>IF(D1610="","-",+C1668+1)</f>
        <v>2068</v>
      </c>
      <c r="D1669" s="469">
        <f t="shared" si="103"/>
        <v>0</v>
      </c>
      <c r="E1669" s="511">
        <f t="shared" si="107"/>
        <v>0</v>
      </c>
      <c r="F1669" s="469">
        <f t="shared" si="102"/>
        <v>0</v>
      </c>
      <c r="G1669" s="935">
        <f t="shared" si="104"/>
        <v>0</v>
      </c>
      <c r="H1669" s="938">
        <f t="shared" si="105"/>
        <v>0</v>
      </c>
      <c r="I1669" s="509">
        <f t="shared" si="106"/>
        <v>0</v>
      </c>
      <c r="J1669" s="509"/>
      <c r="K1669" s="640"/>
      <c r="L1669" s="514"/>
      <c r="M1669" s="640"/>
      <c r="N1669" s="514"/>
      <c r="O1669" s="514"/>
    </row>
    <row r="1670" spans="3:15">
      <c r="C1670" s="505">
        <f>IF(D1610="","-",+C1669+1)</f>
        <v>2069</v>
      </c>
      <c r="D1670" s="469">
        <f t="shared" si="103"/>
        <v>0</v>
      </c>
      <c r="E1670" s="511">
        <f t="shared" si="107"/>
        <v>0</v>
      </c>
      <c r="F1670" s="469">
        <f t="shared" si="102"/>
        <v>0</v>
      </c>
      <c r="G1670" s="935">
        <f t="shared" si="104"/>
        <v>0</v>
      </c>
      <c r="H1670" s="938">
        <f t="shared" si="105"/>
        <v>0</v>
      </c>
      <c r="I1670" s="509">
        <f t="shared" si="106"/>
        <v>0</v>
      </c>
      <c r="J1670" s="509"/>
      <c r="K1670" s="640"/>
      <c r="L1670" s="514"/>
      <c r="M1670" s="640"/>
      <c r="N1670" s="514"/>
      <c r="O1670" s="514"/>
    </row>
    <row r="1671" spans="3:15">
      <c r="C1671" s="505">
        <f>IF(D1610="","-",+C1670+1)</f>
        <v>2070</v>
      </c>
      <c r="D1671" s="469">
        <f t="shared" si="103"/>
        <v>0</v>
      </c>
      <c r="E1671" s="511">
        <f t="shared" si="107"/>
        <v>0</v>
      </c>
      <c r="F1671" s="469">
        <f t="shared" si="102"/>
        <v>0</v>
      </c>
      <c r="G1671" s="935">
        <f t="shared" si="104"/>
        <v>0</v>
      </c>
      <c r="H1671" s="938">
        <f t="shared" si="105"/>
        <v>0</v>
      </c>
      <c r="I1671" s="509">
        <f t="shared" si="106"/>
        <v>0</v>
      </c>
      <c r="J1671" s="509"/>
      <c r="K1671" s="640"/>
      <c r="L1671" s="514"/>
      <c r="M1671" s="640"/>
      <c r="N1671" s="514"/>
      <c r="O1671" s="514"/>
    </row>
    <row r="1672" spans="3:15">
      <c r="C1672" s="505">
        <f>IF(D1610="","-",+C1671+1)</f>
        <v>2071</v>
      </c>
      <c r="D1672" s="469">
        <f t="shared" si="103"/>
        <v>0</v>
      </c>
      <c r="E1672" s="511">
        <f t="shared" si="107"/>
        <v>0</v>
      </c>
      <c r="F1672" s="469">
        <f t="shared" si="102"/>
        <v>0</v>
      </c>
      <c r="G1672" s="935">
        <f t="shared" si="104"/>
        <v>0</v>
      </c>
      <c r="H1672" s="938">
        <f t="shared" si="105"/>
        <v>0</v>
      </c>
      <c r="I1672" s="509">
        <f t="shared" si="106"/>
        <v>0</v>
      </c>
      <c r="J1672" s="509"/>
      <c r="K1672" s="640"/>
      <c r="L1672" s="514"/>
      <c r="M1672" s="640"/>
      <c r="N1672" s="514"/>
      <c r="O1672" s="514"/>
    </row>
    <row r="1673" spans="3:15">
      <c r="C1673" s="505">
        <f>IF(D1610="","-",+C1672+1)</f>
        <v>2072</v>
      </c>
      <c r="D1673" s="469">
        <f t="shared" si="103"/>
        <v>0</v>
      </c>
      <c r="E1673" s="511">
        <f t="shared" si="107"/>
        <v>0</v>
      </c>
      <c r="F1673" s="469">
        <f t="shared" si="102"/>
        <v>0</v>
      </c>
      <c r="G1673" s="935">
        <f t="shared" si="104"/>
        <v>0</v>
      </c>
      <c r="H1673" s="938">
        <f t="shared" si="105"/>
        <v>0</v>
      </c>
      <c r="I1673" s="509">
        <f t="shared" si="106"/>
        <v>0</v>
      </c>
      <c r="J1673" s="509"/>
      <c r="K1673" s="640"/>
      <c r="L1673" s="514"/>
      <c r="M1673" s="640"/>
      <c r="N1673" s="514"/>
      <c r="O1673" s="514"/>
    </row>
    <row r="1674" spans="3:15">
      <c r="C1674" s="505">
        <f>IF(D1610="","-",+C1673+1)</f>
        <v>2073</v>
      </c>
      <c r="D1674" s="469">
        <f t="shared" si="103"/>
        <v>0</v>
      </c>
      <c r="E1674" s="511">
        <f t="shared" si="107"/>
        <v>0</v>
      </c>
      <c r="F1674" s="469">
        <f t="shared" si="102"/>
        <v>0</v>
      </c>
      <c r="G1674" s="935">
        <f t="shared" si="104"/>
        <v>0</v>
      </c>
      <c r="H1674" s="938">
        <f t="shared" si="105"/>
        <v>0</v>
      </c>
      <c r="I1674" s="509">
        <f t="shared" si="106"/>
        <v>0</v>
      </c>
      <c r="J1674" s="509"/>
      <c r="K1674" s="640"/>
      <c r="L1674" s="514"/>
      <c r="M1674" s="640"/>
      <c r="N1674" s="514"/>
      <c r="O1674" s="514"/>
    </row>
    <row r="1675" spans="3:15" ht="13.5" thickBot="1">
      <c r="C1675" s="515">
        <f>IF(D1610="","-",+C1674+1)</f>
        <v>2074</v>
      </c>
      <c r="D1675" s="516">
        <f t="shared" si="103"/>
        <v>0</v>
      </c>
      <c r="E1675" s="517">
        <f t="shared" si="107"/>
        <v>0</v>
      </c>
      <c r="F1675" s="516">
        <f t="shared" si="102"/>
        <v>0</v>
      </c>
      <c r="G1675" s="946">
        <f t="shared" si="104"/>
        <v>0</v>
      </c>
      <c r="H1675" s="946">
        <f t="shared" si="105"/>
        <v>0</v>
      </c>
      <c r="I1675" s="519">
        <f t="shared" si="106"/>
        <v>0</v>
      </c>
      <c r="J1675" s="509"/>
      <c r="K1675" s="641"/>
      <c r="L1675" s="521"/>
      <c r="M1675" s="641"/>
      <c r="N1675" s="521"/>
      <c r="O1675" s="521"/>
    </row>
    <row r="1676" spans="3:15">
      <c r="C1676" s="469" t="s">
        <v>288</v>
      </c>
      <c r="D1676" s="915"/>
      <c r="E1676" s="469"/>
      <c r="F1676" s="915"/>
      <c r="G1676" s="915">
        <f>SUM(G1616:G1675)</f>
        <v>25123644.809333857</v>
      </c>
      <c r="H1676" s="915">
        <f>SUM(H1616:H1675)</f>
        <v>25123644.809333857</v>
      </c>
      <c r="I1676" s="915">
        <f>SUM(I1616:I1675)</f>
        <v>0</v>
      </c>
      <c r="J1676" s="915"/>
      <c r="K1676" s="915"/>
      <c r="L1676" s="915"/>
      <c r="M1676" s="915"/>
      <c r="N1676" s="915"/>
      <c r="O1676" s="4"/>
    </row>
    <row r="1677" spans="3:15">
      <c r="D1677" s="79"/>
      <c r="E1677" s="4"/>
      <c r="F1677" s="4"/>
      <c r="G1677" s="4"/>
      <c r="H1677" s="914"/>
      <c r="I1677" s="914"/>
      <c r="J1677" s="915"/>
      <c r="K1677" s="914"/>
      <c r="L1677" s="914"/>
      <c r="M1677" s="914"/>
      <c r="N1677" s="914"/>
      <c r="O1677" s="4"/>
    </row>
    <row r="1678" spans="3:15">
      <c r="C1678" s="4" t="s">
        <v>595</v>
      </c>
      <c r="D1678" s="79"/>
      <c r="E1678" s="4"/>
      <c r="F1678" s="4"/>
      <c r="G1678" s="4"/>
      <c r="H1678" s="914"/>
      <c r="I1678" s="914"/>
      <c r="J1678" s="915"/>
      <c r="K1678" s="914"/>
      <c r="L1678" s="914"/>
      <c r="M1678" s="914"/>
      <c r="N1678" s="914"/>
      <c r="O1678" s="4"/>
    </row>
    <row r="1679" spans="3:15">
      <c r="C1679" s="4"/>
      <c r="D1679" s="79"/>
      <c r="E1679" s="4"/>
      <c r="F1679" s="4"/>
      <c r="G1679" s="4"/>
      <c r="H1679" s="914"/>
      <c r="I1679" s="914"/>
      <c r="J1679" s="915"/>
      <c r="K1679" s="914"/>
      <c r="L1679" s="914"/>
      <c r="M1679" s="914"/>
      <c r="N1679" s="914"/>
      <c r="O1679" s="4"/>
    </row>
    <row r="1680" spans="3:15">
      <c r="C1680" s="479" t="s">
        <v>924</v>
      </c>
      <c r="D1680" s="469"/>
      <c r="E1680" s="469"/>
      <c r="F1680" s="469"/>
      <c r="G1680" s="915"/>
      <c r="H1680" s="915"/>
      <c r="I1680" s="471"/>
      <c r="J1680" s="471"/>
      <c r="K1680" s="471"/>
      <c r="L1680" s="471"/>
      <c r="M1680" s="471"/>
      <c r="N1680" s="471"/>
      <c r="O1680" s="4"/>
    </row>
    <row r="1681" spans="1:16">
      <c r="C1681" s="479" t="s">
        <v>476</v>
      </c>
      <c r="D1681" s="469"/>
      <c r="E1681" s="469"/>
      <c r="F1681" s="469"/>
      <c r="G1681" s="915"/>
      <c r="H1681" s="915"/>
      <c r="I1681" s="471"/>
      <c r="J1681" s="471"/>
      <c r="K1681" s="471"/>
      <c r="L1681" s="471"/>
      <c r="M1681" s="471"/>
      <c r="N1681" s="471"/>
      <c r="O1681" s="4"/>
    </row>
    <row r="1682" spans="1:16">
      <c r="C1682" s="470" t="s">
        <v>289</v>
      </c>
      <c r="D1682" s="469"/>
      <c r="E1682" s="469"/>
      <c r="F1682" s="469"/>
      <c r="G1682" s="915"/>
      <c r="H1682" s="915"/>
      <c r="I1682" s="471"/>
      <c r="J1682" s="471"/>
      <c r="K1682" s="471"/>
      <c r="L1682" s="471"/>
      <c r="M1682" s="471"/>
      <c r="N1682" s="471"/>
      <c r="O1682" s="4"/>
    </row>
    <row r="1683" spans="1:16">
      <c r="C1683" s="470"/>
      <c r="D1683" s="469"/>
      <c r="E1683" s="469"/>
      <c r="F1683" s="469"/>
      <c r="G1683" s="915"/>
      <c r="H1683" s="915"/>
      <c r="I1683" s="471"/>
      <c r="J1683" s="471"/>
      <c r="K1683" s="471"/>
      <c r="L1683" s="471"/>
      <c r="M1683" s="471"/>
      <c r="N1683" s="471"/>
      <c r="O1683" s="4"/>
    </row>
    <row r="1684" spans="1:16">
      <c r="C1684" s="1275" t="s">
        <v>460</v>
      </c>
      <c r="D1684" s="1275"/>
      <c r="E1684" s="1275"/>
      <c r="F1684" s="1275"/>
      <c r="G1684" s="1275"/>
      <c r="H1684" s="1275"/>
      <c r="I1684" s="1275"/>
      <c r="J1684" s="1275"/>
      <c r="K1684" s="1275"/>
      <c r="L1684" s="1275"/>
      <c r="M1684" s="1275"/>
      <c r="N1684" s="1275"/>
      <c r="O1684" s="1275"/>
    </row>
    <row r="1685" spans="1:16">
      <c r="C1685" s="1275"/>
      <c r="D1685" s="1275"/>
      <c r="E1685" s="1275"/>
      <c r="F1685" s="1275"/>
      <c r="G1685" s="1275"/>
      <c r="H1685" s="1275"/>
      <c r="I1685" s="1275"/>
      <c r="J1685" s="1275"/>
      <c r="K1685" s="1275"/>
      <c r="L1685" s="1275"/>
      <c r="M1685" s="1275"/>
      <c r="N1685" s="1275"/>
      <c r="O1685" s="1275"/>
    </row>
    <row r="1686" spans="1:16" ht="20.25">
      <c r="A1686" s="411" t="s">
        <v>921</v>
      </c>
      <c r="B1686" s="4"/>
      <c r="C1686" s="4"/>
      <c r="D1686" s="79"/>
      <c r="E1686" s="4"/>
      <c r="F1686" s="81"/>
      <c r="G1686" s="4"/>
      <c r="H1686" s="914"/>
      <c r="K1686" s="11"/>
      <c r="L1686" s="11"/>
      <c r="M1686" s="11"/>
      <c r="N1686" s="11" t="str">
        <f>"Page "&amp;SUM(P$6:P1686)&amp;" of "</f>
        <v xml:space="preserve">Page 19 of </v>
      </c>
      <c r="O1686" s="412">
        <f>COUNT(P$6:P$59579)</f>
        <v>22</v>
      </c>
      <c r="P1686" s="4">
        <v>1</v>
      </c>
    </row>
    <row r="1687" spans="1:16">
      <c r="B1687" s="4"/>
      <c r="C1687" s="4"/>
      <c r="D1687" s="79"/>
      <c r="E1687" s="4"/>
      <c r="F1687" s="4"/>
      <c r="G1687" s="4"/>
      <c r="H1687" s="914"/>
      <c r="I1687" s="4"/>
      <c r="J1687" s="4"/>
      <c r="K1687" s="4"/>
      <c r="L1687" s="4"/>
      <c r="M1687" s="4"/>
      <c r="N1687" s="4"/>
      <c r="O1687" s="4"/>
    </row>
    <row r="1688" spans="1:16" ht="18">
      <c r="B1688" s="413" t="s">
        <v>174</v>
      </c>
      <c r="C1688" s="472" t="s">
        <v>290</v>
      </c>
      <c r="D1688" s="79"/>
      <c r="E1688" s="4"/>
      <c r="F1688" s="4"/>
      <c r="G1688" s="4"/>
      <c r="H1688" s="914"/>
      <c r="I1688" s="914"/>
      <c r="J1688" s="915"/>
      <c r="K1688" s="914"/>
      <c r="L1688" s="914"/>
      <c r="M1688" s="914"/>
      <c r="N1688" s="914"/>
      <c r="O1688" s="4"/>
    </row>
    <row r="1689" spans="1:16" ht="18.75">
      <c r="B1689" s="413"/>
      <c r="C1689" s="13"/>
      <c r="D1689" s="79"/>
      <c r="E1689" s="4"/>
      <c r="F1689" s="4"/>
      <c r="G1689" s="4"/>
      <c r="H1689" s="914"/>
      <c r="I1689" s="914"/>
      <c r="J1689" s="915"/>
      <c r="K1689" s="914"/>
      <c r="L1689" s="914"/>
      <c r="M1689" s="914"/>
      <c r="N1689" s="914"/>
      <c r="O1689" s="4"/>
    </row>
    <row r="1690" spans="1:16" ht="18.75">
      <c r="B1690" s="413"/>
      <c r="C1690" s="13" t="s">
        <v>291</v>
      </c>
      <c r="D1690" s="79"/>
      <c r="E1690" s="4"/>
      <c r="F1690" s="4"/>
      <c r="G1690" s="4"/>
      <c r="H1690" s="914"/>
      <c r="I1690" s="914"/>
      <c r="J1690" s="915"/>
      <c r="K1690" s="914"/>
      <c r="L1690" s="914"/>
      <c r="M1690" s="914"/>
      <c r="N1690" s="914"/>
      <c r="O1690" s="4"/>
    </row>
    <row r="1691" spans="1:16" ht="15.75" thickBot="1">
      <c r="C1691" s="247"/>
      <c r="D1691" s="79"/>
      <c r="E1691" s="4"/>
      <c r="F1691" s="4"/>
      <c r="G1691" s="4"/>
      <c r="H1691" s="914"/>
      <c r="I1691" s="914"/>
      <c r="J1691" s="915"/>
      <c r="K1691" s="914"/>
      <c r="L1691" s="914"/>
      <c r="M1691" s="914"/>
      <c r="N1691" s="914"/>
      <c r="O1691" s="4"/>
    </row>
    <row r="1692" spans="1:16" ht="15.75">
      <c r="C1692" s="414" t="s">
        <v>292</v>
      </c>
      <c r="D1692" s="79"/>
      <c r="E1692" s="4"/>
      <c r="F1692" s="4"/>
      <c r="G1692" s="948"/>
      <c r="H1692" s="4" t="s">
        <v>271</v>
      </c>
      <c r="I1692" s="4"/>
      <c r="J1692" s="4"/>
      <c r="K1692" s="473" t="s">
        <v>296</v>
      </c>
      <c r="L1692" s="474"/>
      <c r="M1692" s="475"/>
      <c r="N1692" s="917">
        <f>VLOOKUP(I1698,C1705:O1764,5)</f>
        <v>0</v>
      </c>
      <c r="O1692" s="4"/>
    </row>
    <row r="1693" spans="1:16" ht="15.75">
      <c r="C1693" s="414"/>
      <c r="D1693" s="79"/>
      <c r="E1693" s="4"/>
      <c r="F1693" s="4"/>
      <c r="G1693" s="4"/>
      <c r="H1693" s="918"/>
      <c r="I1693" s="918"/>
      <c r="J1693" s="919"/>
      <c r="K1693" s="478" t="s">
        <v>297</v>
      </c>
      <c r="L1693" s="920"/>
      <c r="M1693" s="4"/>
      <c r="N1693" s="921">
        <f>VLOOKUP(I1698,C1705:O1764,6)</f>
        <v>0</v>
      </c>
      <c r="O1693" s="4"/>
    </row>
    <row r="1694" spans="1:16" ht="15.75" thickBot="1">
      <c r="C1694" s="479" t="s">
        <v>293</v>
      </c>
      <c r="D1694" s="1276" t="s">
        <v>942</v>
      </c>
      <c r="E1694" s="1276"/>
      <c r="F1694" s="1276"/>
      <c r="G1694" s="1276"/>
      <c r="H1694" s="918"/>
      <c r="I1694" s="918"/>
      <c r="J1694" s="915"/>
      <c r="K1694" s="922" t="s">
        <v>450</v>
      </c>
      <c r="L1694" s="923"/>
      <c r="M1694" s="923"/>
      <c r="N1694" s="924">
        <f>+N1693-N1692</f>
        <v>0</v>
      </c>
      <c r="O1694" s="4"/>
    </row>
    <row r="1695" spans="1:16">
      <c r="C1695" s="481"/>
      <c r="D1695" s="482"/>
      <c r="E1695" s="469"/>
      <c r="F1695" s="469"/>
      <c r="G1695" s="483"/>
      <c r="H1695" s="914"/>
      <c r="I1695" s="914"/>
      <c r="J1695" s="915"/>
      <c r="K1695" s="914"/>
      <c r="L1695" s="914"/>
      <c r="M1695" s="914"/>
      <c r="N1695" s="914"/>
      <c r="O1695" s="4"/>
    </row>
    <row r="1696" spans="1:16" ht="13.5" thickBot="1">
      <c r="C1696" s="481"/>
      <c r="D1696" s="925"/>
      <c r="E1696" s="483"/>
      <c r="F1696" s="483"/>
      <c r="G1696" s="483"/>
      <c r="H1696" s="483"/>
      <c r="I1696" s="483"/>
      <c r="J1696" s="483"/>
      <c r="K1696" s="483"/>
      <c r="L1696" s="483"/>
      <c r="M1696" s="483"/>
      <c r="N1696" s="483"/>
      <c r="O1696" s="4"/>
    </row>
    <row r="1697" spans="1:15" ht="13.5" thickBot="1">
      <c r="C1697" s="484" t="s">
        <v>294</v>
      </c>
      <c r="D1697" s="485"/>
      <c r="E1697" s="485"/>
      <c r="F1697" s="485"/>
      <c r="G1697" s="485"/>
      <c r="H1697" s="485"/>
      <c r="I1697" s="486"/>
      <c r="K1697" s="4"/>
      <c r="L1697" s="4"/>
      <c r="M1697" s="4"/>
      <c r="N1697" s="4"/>
      <c r="O1697" s="4"/>
    </row>
    <row r="1698" spans="1:15" ht="15">
      <c r="C1698" s="487" t="s">
        <v>272</v>
      </c>
      <c r="D1698" s="926">
        <v>0</v>
      </c>
      <c r="E1698" s="4" t="s">
        <v>273</v>
      </c>
      <c r="G1698" s="79"/>
      <c r="H1698" s="79"/>
      <c r="I1698" s="488">
        <v>2018</v>
      </c>
      <c r="J1698" s="135"/>
      <c r="K1698" s="1277" t="s">
        <v>459</v>
      </c>
      <c r="L1698" s="1277"/>
      <c r="M1698" s="1277"/>
      <c r="N1698" s="1277"/>
      <c r="O1698" s="1277"/>
    </row>
    <row r="1699" spans="1:15">
      <c r="C1699" s="487" t="s">
        <v>275</v>
      </c>
      <c r="D1699" s="636">
        <v>2015</v>
      </c>
      <c r="E1699" s="487" t="s">
        <v>276</v>
      </c>
      <c r="F1699" s="79"/>
      <c r="H1699"/>
      <c r="I1699" s="927">
        <f>IF(G1692="",0,$F$15)</f>
        <v>0</v>
      </c>
      <c r="J1699" s="489"/>
      <c r="K1699" s="915" t="s">
        <v>459</v>
      </c>
    </row>
    <row r="1700" spans="1:15">
      <c r="C1700" s="487" t="s">
        <v>277</v>
      </c>
      <c r="D1700" s="926">
        <v>6</v>
      </c>
      <c r="E1700" s="487" t="s">
        <v>278</v>
      </c>
      <c r="F1700" s="79"/>
      <c r="H1700"/>
      <c r="I1700" s="490">
        <f>$G$70</f>
        <v>0.14996626714737105</v>
      </c>
      <c r="J1700" s="81"/>
      <c r="K1700" t="str">
        <f>"          INPUT PROJECTED ARR (WITH &amp; WITHOUT INCENTIVES) FROM EACH PRIOR YEAR"</f>
        <v xml:space="preserve">          INPUT PROJECTED ARR (WITH &amp; WITHOUT INCENTIVES) FROM EACH PRIOR YEAR</v>
      </c>
    </row>
    <row r="1701" spans="1:15">
      <c r="C1701" s="487" t="s">
        <v>279</v>
      </c>
      <c r="D1701" s="959">
        <f>G$79</f>
        <v>42</v>
      </c>
      <c r="E1701" s="487" t="s">
        <v>280</v>
      </c>
      <c r="F1701" s="79"/>
      <c r="H1701"/>
      <c r="I1701" s="490">
        <f>IF(G1692="",I1700,$G$67)</f>
        <v>0.14996626714737105</v>
      </c>
      <c r="J1701" s="81"/>
      <c r="K1701" t="s">
        <v>357</v>
      </c>
    </row>
    <row r="1702" spans="1:15" ht="13.5" thickBot="1">
      <c r="C1702" s="487" t="s">
        <v>281</v>
      </c>
      <c r="D1702" s="926" t="s">
        <v>923</v>
      </c>
      <c r="E1702" s="492" t="s">
        <v>282</v>
      </c>
      <c r="F1702" s="493"/>
      <c r="G1702" s="494"/>
      <c r="H1702" s="494"/>
      <c r="I1702" s="924">
        <f>IF(D1698=0,0,D1698/D1701)</f>
        <v>0</v>
      </c>
      <c r="J1702" s="915"/>
      <c r="K1702" s="915" t="s">
        <v>363</v>
      </c>
      <c r="L1702" s="915"/>
      <c r="M1702" s="915"/>
      <c r="N1702" s="915"/>
      <c r="O1702" s="4"/>
    </row>
    <row r="1703" spans="1:15" ht="51">
      <c r="A1703" s="12"/>
      <c r="B1703" s="12"/>
      <c r="C1703" s="495" t="s">
        <v>272</v>
      </c>
      <c r="D1703" s="928" t="s">
        <v>283</v>
      </c>
      <c r="E1703" s="929" t="s">
        <v>284</v>
      </c>
      <c r="F1703" s="928" t="s">
        <v>285</v>
      </c>
      <c r="G1703" s="929" t="s">
        <v>356</v>
      </c>
      <c r="H1703" s="930" t="s">
        <v>356</v>
      </c>
      <c r="I1703" s="495" t="s">
        <v>295</v>
      </c>
      <c r="J1703" s="499"/>
      <c r="K1703" s="929" t="s">
        <v>365</v>
      </c>
      <c r="L1703" s="931"/>
      <c r="M1703" s="929" t="s">
        <v>365</v>
      </c>
      <c r="N1703" s="931"/>
      <c r="O1703" s="931"/>
    </row>
    <row r="1704" spans="1:15" ht="13.5" thickBot="1">
      <c r="C1704" s="500" t="s">
        <v>177</v>
      </c>
      <c r="D1704" s="501" t="s">
        <v>178</v>
      </c>
      <c r="E1704" s="500" t="s">
        <v>37</v>
      </c>
      <c r="F1704" s="501" t="s">
        <v>178</v>
      </c>
      <c r="G1704" s="932" t="s">
        <v>298</v>
      </c>
      <c r="H1704" s="933" t="s">
        <v>300</v>
      </c>
      <c r="I1704" s="500" t="s">
        <v>389</v>
      </c>
      <c r="J1704" s="504"/>
      <c r="K1704" s="932" t="s">
        <v>287</v>
      </c>
      <c r="L1704" s="934"/>
      <c r="M1704" s="932" t="s">
        <v>300</v>
      </c>
      <c r="N1704" s="934"/>
      <c r="O1704" s="934"/>
    </row>
    <row r="1705" spans="1:15">
      <c r="C1705" s="505">
        <f>IF(D1699= "","-",D1699)</f>
        <v>2015</v>
      </c>
      <c r="D1705" s="469">
        <f>+D1698</f>
        <v>0</v>
      </c>
      <c r="E1705" s="935">
        <f>+I1702/12*(12-D1700)</f>
        <v>0</v>
      </c>
      <c r="F1705" s="469">
        <f t="shared" ref="F1705:F1764" si="108">+D1705-E1705</f>
        <v>0</v>
      </c>
      <c r="G1705" s="936">
        <f>+$I$1700*((D1705+F1705)/2)+E1705</f>
        <v>0</v>
      </c>
      <c r="H1705" s="937">
        <f>$I$1701*((D1705+F1705)/2)+E1705</f>
        <v>0</v>
      </c>
      <c r="I1705" s="509">
        <f>+H1705-G1705</f>
        <v>0</v>
      </c>
      <c r="J1705" s="509"/>
      <c r="K1705" s="639">
        <v>0</v>
      </c>
      <c r="L1705" s="510"/>
      <c r="M1705" s="639">
        <v>0</v>
      </c>
      <c r="N1705" s="510"/>
      <c r="O1705" s="510"/>
    </row>
    <row r="1706" spans="1:15">
      <c r="C1706" s="505">
        <f>IF(D1699="","-",+C1705+1)</f>
        <v>2016</v>
      </c>
      <c r="D1706" s="469">
        <f t="shared" ref="D1706:D1764" si="109">F1705</f>
        <v>0</v>
      </c>
      <c r="E1706" s="511">
        <f>IF(D1706&gt;$I$1702,$I$1702,D1706)</f>
        <v>0</v>
      </c>
      <c r="F1706" s="469">
        <f t="shared" si="108"/>
        <v>0</v>
      </c>
      <c r="G1706" s="935">
        <f t="shared" ref="G1706:G1764" si="110">+$I$1700*((D1706+F1706)/2)+E1706</f>
        <v>0</v>
      </c>
      <c r="H1706" s="938">
        <f t="shared" ref="H1706:H1764" si="111">$I$1701*((D1706+F1706)/2)+E1706</f>
        <v>0</v>
      </c>
      <c r="I1706" s="509">
        <f t="shared" ref="I1706:I1764" si="112">+H1706-G1706</f>
        <v>0</v>
      </c>
      <c r="J1706" s="509"/>
      <c r="K1706" s="640">
        <v>935319</v>
      </c>
      <c r="L1706" s="514"/>
      <c r="M1706" s="640">
        <v>935319</v>
      </c>
      <c r="N1706" s="514"/>
      <c r="O1706" s="514"/>
    </row>
    <row r="1707" spans="1:15">
      <c r="C1707" s="505">
        <f>IF(D1699="","-",+C1706+1)</f>
        <v>2017</v>
      </c>
      <c r="D1707" s="469">
        <f t="shared" si="109"/>
        <v>0</v>
      </c>
      <c r="E1707" s="511">
        <f t="shared" ref="E1707:E1764" si="113">IF(D1707&gt;$I$1702,$I$1702,D1707)</f>
        <v>0</v>
      </c>
      <c r="F1707" s="469">
        <f t="shared" si="108"/>
        <v>0</v>
      </c>
      <c r="G1707" s="935">
        <f t="shared" si="110"/>
        <v>0</v>
      </c>
      <c r="H1707" s="938">
        <f t="shared" si="111"/>
        <v>0</v>
      </c>
      <c r="I1707" s="509">
        <f t="shared" si="112"/>
        <v>0</v>
      </c>
      <c r="J1707" s="509"/>
      <c r="K1707" s="640">
        <v>1027649</v>
      </c>
      <c r="L1707" s="514"/>
      <c r="M1707" s="640">
        <v>1024649</v>
      </c>
      <c r="N1707" s="514"/>
      <c r="O1707" s="514"/>
    </row>
    <row r="1708" spans="1:15">
      <c r="C1708" s="505">
        <f>IF(D1699="","-",+C1707+1)</f>
        <v>2018</v>
      </c>
      <c r="D1708" s="469">
        <f t="shared" si="109"/>
        <v>0</v>
      </c>
      <c r="E1708" s="511">
        <f t="shared" si="113"/>
        <v>0</v>
      </c>
      <c r="F1708" s="469">
        <f t="shared" si="108"/>
        <v>0</v>
      </c>
      <c r="G1708" s="935">
        <f t="shared" si="110"/>
        <v>0</v>
      </c>
      <c r="H1708" s="938">
        <f t="shared" si="111"/>
        <v>0</v>
      </c>
      <c r="I1708" s="509">
        <f t="shared" si="112"/>
        <v>0</v>
      </c>
      <c r="J1708" s="509"/>
      <c r="K1708" s="640"/>
      <c r="L1708" s="514"/>
      <c r="M1708" s="640"/>
      <c r="N1708" s="514"/>
      <c r="O1708" s="514"/>
    </row>
    <row r="1709" spans="1:15">
      <c r="C1709" s="505">
        <f>IF(D1699="","-",+C1708+1)</f>
        <v>2019</v>
      </c>
      <c r="D1709" s="469">
        <f t="shared" si="109"/>
        <v>0</v>
      </c>
      <c r="E1709" s="511">
        <f t="shared" si="113"/>
        <v>0</v>
      </c>
      <c r="F1709" s="469">
        <f t="shared" si="108"/>
        <v>0</v>
      </c>
      <c r="G1709" s="935">
        <f t="shared" si="110"/>
        <v>0</v>
      </c>
      <c r="H1709" s="938">
        <f t="shared" si="111"/>
        <v>0</v>
      </c>
      <c r="I1709" s="509">
        <f t="shared" si="112"/>
        <v>0</v>
      </c>
      <c r="J1709" s="509"/>
      <c r="K1709" s="640"/>
      <c r="L1709" s="514"/>
      <c r="M1709" s="640"/>
      <c r="N1709" s="514"/>
      <c r="O1709" s="514"/>
    </row>
    <row r="1710" spans="1:15">
      <c r="C1710" s="505">
        <f>IF(D1699="","-",+C1709+1)</f>
        <v>2020</v>
      </c>
      <c r="D1710" s="469">
        <f t="shared" si="109"/>
        <v>0</v>
      </c>
      <c r="E1710" s="511">
        <f t="shared" si="113"/>
        <v>0</v>
      </c>
      <c r="F1710" s="469">
        <f t="shared" si="108"/>
        <v>0</v>
      </c>
      <c r="G1710" s="935">
        <f t="shared" si="110"/>
        <v>0</v>
      </c>
      <c r="H1710" s="938">
        <f t="shared" si="111"/>
        <v>0</v>
      </c>
      <c r="I1710" s="509">
        <f t="shared" si="112"/>
        <v>0</v>
      </c>
      <c r="J1710" s="509"/>
      <c r="K1710" s="640"/>
      <c r="L1710" s="514"/>
      <c r="M1710" s="640"/>
      <c r="N1710" s="514"/>
      <c r="O1710" s="514"/>
    </row>
    <row r="1711" spans="1:15">
      <c r="C1711" s="505">
        <f>IF(D1699="","-",+C1710+1)</f>
        <v>2021</v>
      </c>
      <c r="D1711" s="469">
        <f t="shared" si="109"/>
        <v>0</v>
      </c>
      <c r="E1711" s="511">
        <f t="shared" si="113"/>
        <v>0</v>
      </c>
      <c r="F1711" s="469">
        <f t="shared" si="108"/>
        <v>0</v>
      </c>
      <c r="G1711" s="935">
        <f t="shared" si="110"/>
        <v>0</v>
      </c>
      <c r="H1711" s="938">
        <f t="shared" si="111"/>
        <v>0</v>
      </c>
      <c r="I1711" s="509">
        <f t="shared" si="112"/>
        <v>0</v>
      </c>
      <c r="J1711" s="509"/>
      <c r="K1711" s="640"/>
      <c r="L1711" s="514"/>
      <c r="M1711" s="640"/>
      <c r="N1711" s="514"/>
      <c r="O1711" s="514"/>
    </row>
    <row r="1712" spans="1:15">
      <c r="C1712" s="505">
        <f>IF(D1699="","-",+C1711+1)</f>
        <v>2022</v>
      </c>
      <c r="D1712" s="469">
        <f t="shared" si="109"/>
        <v>0</v>
      </c>
      <c r="E1712" s="511">
        <f t="shared" si="113"/>
        <v>0</v>
      </c>
      <c r="F1712" s="469">
        <f t="shared" si="108"/>
        <v>0</v>
      </c>
      <c r="G1712" s="935">
        <f t="shared" si="110"/>
        <v>0</v>
      </c>
      <c r="H1712" s="938">
        <f t="shared" si="111"/>
        <v>0</v>
      </c>
      <c r="I1712" s="509">
        <f t="shared" si="112"/>
        <v>0</v>
      </c>
      <c r="J1712" s="509"/>
      <c r="K1712" s="640"/>
      <c r="L1712" s="514"/>
      <c r="M1712" s="640"/>
      <c r="N1712" s="514"/>
      <c r="O1712" s="514"/>
    </row>
    <row r="1713" spans="3:15">
      <c r="C1713" s="505">
        <f>IF(D1699="","-",+C1712+1)</f>
        <v>2023</v>
      </c>
      <c r="D1713" s="469">
        <f t="shared" si="109"/>
        <v>0</v>
      </c>
      <c r="E1713" s="511">
        <f t="shared" si="113"/>
        <v>0</v>
      </c>
      <c r="F1713" s="469">
        <f t="shared" si="108"/>
        <v>0</v>
      </c>
      <c r="G1713" s="935">
        <f t="shared" si="110"/>
        <v>0</v>
      </c>
      <c r="H1713" s="938">
        <f t="shared" si="111"/>
        <v>0</v>
      </c>
      <c r="I1713" s="509">
        <f t="shared" si="112"/>
        <v>0</v>
      </c>
      <c r="J1713" s="509"/>
      <c r="K1713" s="640"/>
      <c r="L1713" s="514"/>
      <c r="M1713" s="640"/>
      <c r="N1713" s="514"/>
      <c r="O1713" s="514"/>
    </row>
    <row r="1714" spans="3:15">
      <c r="C1714" s="505">
        <f>IF(D1699="","-",+C1713+1)</f>
        <v>2024</v>
      </c>
      <c r="D1714" s="469">
        <f t="shared" si="109"/>
        <v>0</v>
      </c>
      <c r="E1714" s="511">
        <f t="shared" si="113"/>
        <v>0</v>
      </c>
      <c r="F1714" s="469">
        <f t="shared" si="108"/>
        <v>0</v>
      </c>
      <c r="G1714" s="935">
        <f t="shared" si="110"/>
        <v>0</v>
      </c>
      <c r="H1714" s="938">
        <f t="shared" si="111"/>
        <v>0</v>
      </c>
      <c r="I1714" s="509">
        <f t="shared" si="112"/>
        <v>0</v>
      </c>
      <c r="J1714" s="509"/>
      <c r="K1714" s="640"/>
      <c r="L1714" s="514"/>
      <c r="M1714" s="640"/>
      <c r="N1714" s="514"/>
      <c r="O1714" s="514"/>
    </row>
    <row r="1715" spans="3:15">
      <c r="C1715" s="505">
        <f>IF(D1699="","-",+C1714+1)</f>
        <v>2025</v>
      </c>
      <c r="D1715" s="469">
        <f t="shared" si="109"/>
        <v>0</v>
      </c>
      <c r="E1715" s="511">
        <f t="shared" si="113"/>
        <v>0</v>
      </c>
      <c r="F1715" s="469">
        <f t="shared" si="108"/>
        <v>0</v>
      </c>
      <c r="G1715" s="935">
        <f t="shared" si="110"/>
        <v>0</v>
      </c>
      <c r="H1715" s="938">
        <f t="shared" si="111"/>
        <v>0</v>
      </c>
      <c r="I1715" s="509">
        <f t="shared" si="112"/>
        <v>0</v>
      </c>
      <c r="J1715" s="509"/>
      <c r="K1715" s="640"/>
      <c r="L1715" s="514"/>
      <c r="M1715" s="640"/>
      <c r="N1715" s="514"/>
      <c r="O1715" s="514"/>
    </row>
    <row r="1716" spans="3:15">
      <c r="C1716" s="505">
        <f>IF(D1699="","-",+C1715+1)</f>
        <v>2026</v>
      </c>
      <c r="D1716" s="469">
        <f t="shared" si="109"/>
        <v>0</v>
      </c>
      <c r="E1716" s="511">
        <f t="shared" si="113"/>
        <v>0</v>
      </c>
      <c r="F1716" s="469">
        <f t="shared" si="108"/>
        <v>0</v>
      </c>
      <c r="G1716" s="935">
        <f t="shared" si="110"/>
        <v>0</v>
      </c>
      <c r="H1716" s="938">
        <f t="shared" si="111"/>
        <v>0</v>
      </c>
      <c r="I1716" s="509">
        <f t="shared" si="112"/>
        <v>0</v>
      </c>
      <c r="J1716" s="509"/>
      <c r="K1716" s="640"/>
      <c r="L1716" s="514"/>
      <c r="M1716" s="640"/>
      <c r="N1716" s="514"/>
      <c r="O1716" s="514"/>
    </row>
    <row r="1717" spans="3:15">
      <c r="C1717" s="505">
        <f>IF(D1699="","-",+C1716+1)</f>
        <v>2027</v>
      </c>
      <c r="D1717" s="469">
        <f t="shared" si="109"/>
        <v>0</v>
      </c>
      <c r="E1717" s="511">
        <f t="shared" si="113"/>
        <v>0</v>
      </c>
      <c r="F1717" s="469">
        <f t="shared" si="108"/>
        <v>0</v>
      </c>
      <c r="G1717" s="935">
        <f t="shared" si="110"/>
        <v>0</v>
      </c>
      <c r="H1717" s="938">
        <f t="shared" si="111"/>
        <v>0</v>
      </c>
      <c r="I1717" s="509">
        <f t="shared" si="112"/>
        <v>0</v>
      </c>
      <c r="J1717" s="509"/>
      <c r="K1717" s="640"/>
      <c r="L1717" s="514"/>
      <c r="M1717" s="640"/>
      <c r="N1717" s="514"/>
      <c r="O1717" s="514"/>
    </row>
    <row r="1718" spans="3:15">
      <c r="C1718" s="505">
        <f>IF(D1699="","-",+C1717+1)</f>
        <v>2028</v>
      </c>
      <c r="D1718" s="469">
        <f t="shared" si="109"/>
        <v>0</v>
      </c>
      <c r="E1718" s="511">
        <f t="shared" si="113"/>
        <v>0</v>
      </c>
      <c r="F1718" s="469">
        <f t="shared" si="108"/>
        <v>0</v>
      </c>
      <c r="G1718" s="935">
        <f t="shared" si="110"/>
        <v>0</v>
      </c>
      <c r="H1718" s="938">
        <f t="shared" si="111"/>
        <v>0</v>
      </c>
      <c r="I1718" s="509">
        <f t="shared" si="112"/>
        <v>0</v>
      </c>
      <c r="J1718" s="509"/>
      <c r="K1718" s="640"/>
      <c r="L1718" s="514"/>
      <c r="M1718" s="640"/>
      <c r="N1718" s="514"/>
      <c r="O1718" s="514"/>
    </row>
    <row r="1719" spans="3:15">
      <c r="C1719" s="505">
        <f>IF(D1699="","-",+C1718+1)</f>
        <v>2029</v>
      </c>
      <c r="D1719" s="469">
        <f t="shared" si="109"/>
        <v>0</v>
      </c>
      <c r="E1719" s="511">
        <f t="shared" si="113"/>
        <v>0</v>
      </c>
      <c r="F1719" s="469">
        <f t="shared" si="108"/>
        <v>0</v>
      </c>
      <c r="G1719" s="935">
        <f t="shared" si="110"/>
        <v>0</v>
      </c>
      <c r="H1719" s="938">
        <f t="shared" si="111"/>
        <v>0</v>
      </c>
      <c r="I1719" s="509">
        <f t="shared" si="112"/>
        <v>0</v>
      </c>
      <c r="J1719" s="509"/>
      <c r="K1719" s="640"/>
      <c r="L1719" s="514"/>
      <c r="M1719" s="640"/>
      <c r="N1719" s="514"/>
      <c r="O1719" s="514"/>
    </row>
    <row r="1720" spans="3:15">
      <c r="C1720" s="505">
        <f>IF(D1699="","-",+C1719+1)</f>
        <v>2030</v>
      </c>
      <c r="D1720" s="469">
        <f t="shared" si="109"/>
        <v>0</v>
      </c>
      <c r="E1720" s="511">
        <f t="shared" si="113"/>
        <v>0</v>
      </c>
      <c r="F1720" s="469">
        <f t="shared" si="108"/>
        <v>0</v>
      </c>
      <c r="G1720" s="935">
        <f t="shared" si="110"/>
        <v>0</v>
      </c>
      <c r="H1720" s="938">
        <f t="shared" si="111"/>
        <v>0</v>
      </c>
      <c r="I1720" s="509">
        <f t="shared" si="112"/>
        <v>0</v>
      </c>
      <c r="J1720" s="509"/>
      <c r="K1720" s="640"/>
      <c r="L1720" s="514"/>
      <c r="M1720" s="640"/>
      <c r="N1720" s="514"/>
      <c r="O1720" s="514"/>
    </row>
    <row r="1721" spans="3:15">
      <c r="C1721" s="505">
        <f>IF(D1699="","-",+C1720+1)</f>
        <v>2031</v>
      </c>
      <c r="D1721" s="469">
        <f t="shared" si="109"/>
        <v>0</v>
      </c>
      <c r="E1721" s="511">
        <f t="shared" si="113"/>
        <v>0</v>
      </c>
      <c r="F1721" s="469">
        <f t="shared" si="108"/>
        <v>0</v>
      </c>
      <c r="G1721" s="935">
        <f t="shared" si="110"/>
        <v>0</v>
      </c>
      <c r="H1721" s="938">
        <f t="shared" si="111"/>
        <v>0</v>
      </c>
      <c r="I1721" s="509">
        <f t="shared" si="112"/>
        <v>0</v>
      </c>
      <c r="J1721" s="509"/>
      <c r="K1721" s="640"/>
      <c r="L1721" s="514"/>
      <c r="M1721" s="640"/>
      <c r="N1721" s="514"/>
      <c r="O1721" s="514"/>
    </row>
    <row r="1722" spans="3:15">
      <c r="C1722" s="505">
        <f>IF(D1699="","-",+C1721+1)</f>
        <v>2032</v>
      </c>
      <c r="D1722" s="469">
        <f t="shared" si="109"/>
        <v>0</v>
      </c>
      <c r="E1722" s="511">
        <f t="shared" si="113"/>
        <v>0</v>
      </c>
      <c r="F1722" s="469">
        <f t="shared" si="108"/>
        <v>0</v>
      </c>
      <c r="G1722" s="935">
        <f t="shared" si="110"/>
        <v>0</v>
      </c>
      <c r="H1722" s="938">
        <f t="shared" si="111"/>
        <v>0</v>
      </c>
      <c r="I1722" s="509">
        <f t="shared" si="112"/>
        <v>0</v>
      </c>
      <c r="J1722" s="509"/>
      <c r="K1722" s="640"/>
      <c r="L1722" s="514"/>
      <c r="M1722" s="640"/>
      <c r="N1722" s="514"/>
      <c r="O1722" s="514"/>
    </row>
    <row r="1723" spans="3:15">
      <c r="C1723" s="505">
        <f>IF(D1699="","-",+C1722+1)</f>
        <v>2033</v>
      </c>
      <c r="D1723" s="469">
        <f t="shared" si="109"/>
        <v>0</v>
      </c>
      <c r="E1723" s="511">
        <f t="shared" si="113"/>
        <v>0</v>
      </c>
      <c r="F1723" s="469">
        <f t="shared" si="108"/>
        <v>0</v>
      </c>
      <c r="G1723" s="935">
        <f t="shared" si="110"/>
        <v>0</v>
      </c>
      <c r="H1723" s="938">
        <f t="shared" si="111"/>
        <v>0</v>
      </c>
      <c r="I1723" s="509">
        <f t="shared" si="112"/>
        <v>0</v>
      </c>
      <c r="J1723" s="509"/>
      <c r="K1723" s="640"/>
      <c r="L1723" s="514"/>
      <c r="M1723" s="640"/>
      <c r="N1723" s="514"/>
      <c r="O1723" s="514"/>
    </row>
    <row r="1724" spans="3:15">
      <c r="C1724" s="505">
        <f>IF(D1699="","-",+C1723+1)</f>
        <v>2034</v>
      </c>
      <c r="D1724" s="469">
        <f t="shared" si="109"/>
        <v>0</v>
      </c>
      <c r="E1724" s="511">
        <f t="shared" si="113"/>
        <v>0</v>
      </c>
      <c r="F1724" s="469">
        <f t="shared" si="108"/>
        <v>0</v>
      </c>
      <c r="G1724" s="935">
        <f t="shared" si="110"/>
        <v>0</v>
      </c>
      <c r="H1724" s="938">
        <f t="shared" si="111"/>
        <v>0</v>
      </c>
      <c r="I1724" s="509">
        <f t="shared" si="112"/>
        <v>0</v>
      </c>
      <c r="J1724" s="509"/>
      <c r="K1724" s="640"/>
      <c r="L1724" s="514"/>
      <c r="M1724" s="640"/>
      <c r="N1724" s="514"/>
      <c r="O1724" s="514"/>
    </row>
    <row r="1725" spans="3:15">
      <c r="C1725" s="505">
        <f>IF(D1699="","-",+C1724+1)</f>
        <v>2035</v>
      </c>
      <c r="D1725" s="469">
        <f t="shared" si="109"/>
        <v>0</v>
      </c>
      <c r="E1725" s="511">
        <f t="shared" si="113"/>
        <v>0</v>
      </c>
      <c r="F1725" s="469">
        <f t="shared" si="108"/>
        <v>0</v>
      </c>
      <c r="G1725" s="935">
        <f t="shared" si="110"/>
        <v>0</v>
      </c>
      <c r="H1725" s="938">
        <f t="shared" si="111"/>
        <v>0</v>
      </c>
      <c r="I1725" s="509">
        <f t="shared" si="112"/>
        <v>0</v>
      </c>
      <c r="J1725" s="509"/>
      <c r="K1725" s="640"/>
      <c r="L1725" s="514"/>
      <c r="M1725" s="640"/>
      <c r="N1725" s="514"/>
      <c r="O1725" s="514"/>
    </row>
    <row r="1726" spans="3:15">
      <c r="C1726" s="505">
        <f>IF(D1699="","-",+C1725+1)</f>
        <v>2036</v>
      </c>
      <c r="D1726" s="469">
        <f t="shared" si="109"/>
        <v>0</v>
      </c>
      <c r="E1726" s="511">
        <f t="shared" si="113"/>
        <v>0</v>
      </c>
      <c r="F1726" s="469">
        <f t="shared" si="108"/>
        <v>0</v>
      </c>
      <c r="G1726" s="935">
        <f t="shared" si="110"/>
        <v>0</v>
      </c>
      <c r="H1726" s="938">
        <f t="shared" si="111"/>
        <v>0</v>
      </c>
      <c r="I1726" s="509">
        <f t="shared" si="112"/>
        <v>0</v>
      </c>
      <c r="J1726" s="509"/>
      <c r="K1726" s="640"/>
      <c r="L1726" s="514"/>
      <c r="M1726" s="640"/>
      <c r="N1726" s="514"/>
      <c r="O1726" s="514"/>
    </row>
    <row r="1727" spans="3:15">
      <c r="C1727" s="505">
        <f>IF(D1699="","-",+C1726+1)</f>
        <v>2037</v>
      </c>
      <c r="D1727" s="469">
        <f t="shared" si="109"/>
        <v>0</v>
      </c>
      <c r="E1727" s="511">
        <f t="shared" si="113"/>
        <v>0</v>
      </c>
      <c r="F1727" s="469">
        <f t="shared" si="108"/>
        <v>0</v>
      </c>
      <c r="G1727" s="935">
        <f t="shared" si="110"/>
        <v>0</v>
      </c>
      <c r="H1727" s="938">
        <f t="shared" si="111"/>
        <v>0</v>
      </c>
      <c r="I1727" s="509">
        <f t="shared" si="112"/>
        <v>0</v>
      </c>
      <c r="J1727" s="509"/>
      <c r="K1727" s="640"/>
      <c r="L1727" s="514"/>
      <c r="M1727" s="640"/>
      <c r="N1727" s="514"/>
      <c r="O1727" s="514"/>
    </row>
    <row r="1728" spans="3:15">
      <c r="C1728" s="505">
        <f>IF(D1699="","-",+C1727+1)</f>
        <v>2038</v>
      </c>
      <c r="D1728" s="469">
        <f t="shared" si="109"/>
        <v>0</v>
      </c>
      <c r="E1728" s="511">
        <f t="shared" si="113"/>
        <v>0</v>
      </c>
      <c r="F1728" s="469">
        <f t="shared" si="108"/>
        <v>0</v>
      </c>
      <c r="G1728" s="935">
        <f t="shared" si="110"/>
        <v>0</v>
      </c>
      <c r="H1728" s="938">
        <f t="shared" si="111"/>
        <v>0</v>
      </c>
      <c r="I1728" s="509">
        <f t="shared" si="112"/>
        <v>0</v>
      </c>
      <c r="J1728" s="509"/>
      <c r="K1728" s="640"/>
      <c r="L1728" s="514"/>
      <c r="M1728" s="640"/>
      <c r="N1728" s="514"/>
      <c r="O1728" s="514"/>
    </row>
    <row r="1729" spans="3:15">
      <c r="C1729" s="505">
        <f>IF(D1699="","-",+C1728+1)</f>
        <v>2039</v>
      </c>
      <c r="D1729" s="469">
        <f t="shared" si="109"/>
        <v>0</v>
      </c>
      <c r="E1729" s="511">
        <f t="shared" si="113"/>
        <v>0</v>
      </c>
      <c r="F1729" s="469">
        <f t="shared" si="108"/>
        <v>0</v>
      </c>
      <c r="G1729" s="935">
        <f t="shared" si="110"/>
        <v>0</v>
      </c>
      <c r="H1729" s="938">
        <f t="shared" si="111"/>
        <v>0</v>
      </c>
      <c r="I1729" s="509">
        <f t="shared" si="112"/>
        <v>0</v>
      </c>
      <c r="J1729" s="509"/>
      <c r="K1729" s="640"/>
      <c r="L1729" s="514"/>
      <c r="M1729" s="640"/>
      <c r="N1729" s="514"/>
      <c r="O1729" s="514"/>
    </row>
    <row r="1730" spans="3:15">
      <c r="C1730" s="505">
        <f>IF(D1699="","-",+C1729+1)</f>
        <v>2040</v>
      </c>
      <c r="D1730" s="469">
        <f t="shared" si="109"/>
        <v>0</v>
      </c>
      <c r="E1730" s="511">
        <f t="shared" si="113"/>
        <v>0</v>
      </c>
      <c r="F1730" s="469">
        <f t="shared" si="108"/>
        <v>0</v>
      </c>
      <c r="G1730" s="935">
        <f t="shared" si="110"/>
        <v>0</v>
      </c>
      <c r="H1730" s="938">
        <f t="shared" si="111"/>
        <v>0</v>
      </c>
      <c r="I1730" s="509">
        <f t="shared" si="112"/>
        <v>0</v>
      </c>
      <c r="J1730" s="509"/>
      <c r="K1730" s="640"/>
      <c r="L1730" s="514"/>
      <c r="M1730" s="640"/>
      <c r="N1730" s="514"/>
      <c r="O1730" s="514"/>
    </row>
    <row r="1731" spans="3:15">
      <c r="C1731" s="505">
        <f>IF(D1699="","-",+C1730+1)</f>
        <v>2041</v>
      </c>
      <c r="D1731" s="469">
        <f t="shared" si="109"/>
        <v>0</v>
      </c>
      <c r="E1731" s="511">
        <f t="shared" si="113"/>
        <v>0</v>
      </c>
      <c r="F1731" s="469">
        <f t="shared" si="108"/>
        <v>0</v>
      </c>
      <c r="G1731" s="935">
        <f t="shared" si="110"/>
        <v>0</v>
      </c>
      <c r="H1731" s="938">
        <f t="shared" si="111"/>
        <v>0</v>
      </c>
      <c r="I1731" s="509">
        <f t="shared" si="112"/>
        <v>0</v>
      </c>
      <c r="J1731" s="509"/>
      <c r="K1731" s="640"/>
      <c r="L1731" s="514"/>
      <c r="M1731" s="640"/>
      <c r="N1731" s="514"/>
      <c r="O1731" s="514"/>
    </row>
    <row r="1732" spans="3:15">
      <c r="C1732" s="505">
        <f>IF(D1699="","-",+C1731+1)</f>
        <v>2042</v>
      </c>
      <c r="D1732" s="469">
        <f t="shared" si="109"/>
        <v>0</v>
      </c>
      <c r="E1732" s="511">
        <f t="shared" si="113"/>
        <v>0</v>
      </c>
      <c r="F1732" s="469">
        <f t="shared" si="108"/>
        <v>0</v>
      </c>
      <c r="G1732" s="935">
        <f t="shared" si="110"/>
        <v>0</v>
      </c>
      <c r="H1732" s="938">
        <f t="shared" si="111"/>
        <v>0</v>
      </c>
      <c r="I1732" s="509">
        <f t="shared" si="112"/>
        <v>0</v>
      </c>
      <c r="J1732" s="509"/>
      <c r="K1732" s="640"/>
      <c r="L1732" s="514"/>
      <c r="M1732" s="640"/>
      <c r="N1732" s="514"/>
      <c r="O1732" s="514"/>
    </row>
    <row r="1733" spans="3:15">
      <c r="C1733" s="505">
        <f>IF(D1699="","-",+C1732+1)</f>
        <v>2043</v>
      </c>
      <c r="D1733" s="469">
        <f t="shared" si="109"/>
        <v>0</v>
      </c>
      <c r="E1733" s="511">
        <f t="shared" si="113"/>
        <v>0</v>
      </c>
      <c r="F1733" s="469">
        <f t="shared" si="108"/>
        <v>0</v>
      </c>
      <c r="G1733" s="936">
        <f t="shared" si="110"/>
        <v>0</v>
      </c>
      <c r="H1733" s="938">
        <f t="shared" si="111"/>
        <v>0</v>
      </c>
      <c r="I1733" s="509">
        <f t="shared" si="112"/>
        <v>0</v>
      </c>
      <c r="J1733" s="509"/>
      <c r="K1733" s="640"/>
      <c r="L1733" s="514"/>
      <c r="M1733" s="640"/>
      <c r="N1733" s="514"/>
      <c r="O1733" s="514"/>
    </row>
    <row r="1734" spans="3:15">
      <c r="C1734" s="505">
        <f>IF(D1699="","-",+C1733+1)</f>
        <v>2044</v>
      </c>
      <c r="D1734" s="469">
        <f t="shared" si="109"/>
        <v>0</v>
      </c>
      <c r="E1734" s="511">
        <f t="shared" si="113"/>
        <v>0</v>
      </c>
      <c r="F1734" s="469">
        <f t="shared" si="108"/>
        <v>0</v>
      </c>
      <c r="G1734" s="935">
        <f t="shared" si="110"/>
        <v>0</v>
      </c>
      <c r="H1734" s="938">
        <f t="shared" si="111"/>
        <v>0</v>
      </c>
      <c r="I1734" s="509">
        <f t="shared" si="112"/>
        <v>0</v>
      </c>
      <c r="J1734" s="509"/>
      <c r="K1734" s="640"/>
      <c r="L1734" s="514"/>
      <c r="M1734" s="640"/>
      <c r="N1734" s="514"/>
      <c r="O1734" s="514"/>
    </row>
    <row r="1735" spans="3:15">
      <c r="C1735" s="505">
        <f>IF(D1699="","-",+C1734+1)</f>
        <v>2045</v>
      </c>
      <c r="D1735" s="469">
        <f t="shared" si="109"/>
        <v>0</v>
      </c>
      <c r="E1735" s="511">
        <f t="shared" si="113"/>
        <v>0</v>
      </c>
      <c r="F1735" s="469">
        <f t="shared" si="108"/>
        <v>0</v>
      </c>
      <c r="G1735" s="935">
        <f t="shared" si="110"/>
        <v>0</v>
      </c>
      <c r="H1735" s="938">
        <f t="shared" si="111"/>
        <v>0</v>
      </c>
      <c r="I1735" s="509">
        <f t="shared" si="112"/>
        <v>0</v>
      </c>
      <c r="J1735" s="509"/>
      <c r="K1735" s="640"/>
      <c r="L1735" s="514"/>
      <c r="M1735" s="640"/>
      <c r="N1735" s="514"/>
      <c r="O1735" s="514"/>
    </row>
    <row r="1736" spans="3:15">
      <c r="C1736" s="505">
        <f>IF(D1699="","-",+C1735+1)</f>
        <v>2046</v>
      </c>
      <c r="D1736" s="469">
        <f t="shared" si="109"/>
        <v>0</v>
      </c>
      <c r="E1736" s="511">
        <f t="shared" si="113"/>
        <v>0</v>
      </c>
      <c r="F1736" s="469">
        <f t="shared" si="108"/>
        <v>0</v>
      </c>
      <c r="G1736" s="935">
        <f t="shared" si="110"/>
        <v>0</v>
      </c>
      <c r="H1736" s="938">
        <f t="shared" si="111"/>
        <v>0</v>
      </c>
      <c r="I1736" s="509">
        <f t="shared" si="112"/>
        <v>0</v>
      </c>
      <c r="J1736" s="509"/>
      <c r="K1736" s="640"/>
      <c r="L1736" s="514"/>
      <c r="M1736" s="640"/>
      <c r="N1736" s="514"/>
      <c r="O1736" s="514"/>
    </row>
    <row r="1737" spans="3:15">
      <c r="C1737" s="505">
        <f>IF(D1699="","-",+C1736+1)</f>
        <v>2047</v>
      </c>
      <c r="D1737" s="469">
        <f t="shared" si="109"/>
        <v>0</v>
      </c>
      <c r="E1737" s="511">
        <f t="shared" si="113"/>
        <v>0</v>
      </c>
      <c r="F1737" s="469">
        <f t="shared" si="108"/>
        <v>0</v>
      </c>
      <c r="G1737" s="935">
        <f t="shared" si="110"/>
        <v>0</v>
      </c>
      <c r="H1737" s="938">
        <f t="shared" si="111"/>
        <v>0</v>
      </c>
      <c r="I1737" s="509">
        <f t="shared" si="112"/>
        <v>0</v>
      </c>
      <c r="J1737" s="509"/>
      <c r="K1737" s="640"/>
      <c r="L1737" s="514"/>
      <c r="M1737" s="640"/>
      <c r="N1737" s="514"/>
      <c r="O1737" s="514"/>
    </row>
    <row r="1738" spans="3:15">
      <c r="C1738" s="505">
        <f>IF(D1699="","-",+C1737+1)</f>
        <v>2048</v>
      </c>
      <c r="D1738" s="469">
        <f t="shared" si="109"/>
        <v>0</v>
      </c>
      <c r="E1738" s="511">
        <f t="shared" si="113"/>
        <v>0</v>
      </c>
      <c r="F1738" s="469">
        <f t="shared" si="108"/>
        <v>0</v>
      </c>
      <c r="G1738" s="935">
        <f t="shared" si="110"/>
        <v>0</v>
      </c>
      <c r="H1738" s="938">
        <f t="shared" si="111"/>
        <v>0</v>
      </c>
      <c r="I1738" s="509">
        <f t="shared" si="112"/>
        <v>0</v>
      </c>
      <c r="J1738" s="509"/>
      <c r="K1738" s="640"/>
      <c r="L1738" s="514"/>
      <c r="M1738" s="640"/>
      <c r="N1738" s="514"/>
      <c r="O1738" s="514"/>
    </row>
    <row r="1739" spans="3:15">
      <c r="C1739" s="505">
        <f>IF(D1699="","-",+C1738+1)</f>
        <v>2049</v>
      </c>
      <c r="D1739" s="469">
        <f t="shared" si="109"/>
        <v>0</v>
      </c>
      <c r="E1739" s="511">
        <f t="shared" si="113"/>
        <v>0</v>
      </c>
      <c r="F1739" s="469">
        <f t="shared" si="108"/>
        <v>0</v>
      </c>
      <c r="G1739" s="935">
        <f t="shared" si="110"/>
        <v>0</v>
      </c>
      <c r="H1739" s="938">
        <f t="shared" si="111"/>
        <v>0</v>
      </c>
      <c r="I1739" s="509">
        <f t="shared" si="112"/>
        <v>0</v>
      </c>
      <c r="J1739" s="509"/>
      <c r="K1739" s="640"/>
      <c r="L1739" s="514"/>
      <c r="M1739" s="640"/>
      <c r="N1739" s="514"/>
      <c r="O1739" s="514"/>
    </row>
    <row r="1740" spans="3:15">
      <c r="C1740" s="505">
        <f>IF(D1699="","-",+C1739+1)</f>
        <v>2050</v>
      </c>
      <c r="D1740" s="469">
        <f t="shared" si="109"/>
        <v>0</v>
      </c>
      <c r="E1740" s="511">
        <f t="shared" si="113"/>
        <v>0</v>
      </c>
      <c r="F1740" s="469">
        <f t="shared" si="108"/>
        <v>0</v>
      </c>
      <c r="G1740" s="935">
        <f t="shared" si="110"/>
        <v>0</v>
      </c>
      <c r="H1740" s="938">
        <f t="shared" si="111"/>
        <v>0</v>
      </c>
      <c r="I1740" s="509">
        <f t="shared" si="112"/>
        <v>0</v>
      </c>
      <c r="J1740" s="509"/>
      <c r="K1740" s="640"/>
      <c r="L1740" s="514"/>
      <c r="M1740" s="640"/>
      <c r="N1740" s="514"/>
      <c r="O1740" s="514"/>
    </row>
    <row r="1741" spans="3:15">
      <c r="C1741" s="505">
        <f>IF(D1699="","-",+C1740+1)</f>
        <v>2051</v>
      </c>
      <c r="D1741" s="469">
        <f t="shared" si="109"/>
        <v>0</v>
      </c>
      <c r="E1741" s="511">
        <f t="shared" si="113"/>
        <v>0</v>
      </c>
      <c r="F1741" s="469">
        <f t="shared" si="108"/>
        <v>0</v>
      </c>
      <c r="G1741" s="935">
        <f t="shared" si="110"/>
        <v>0</v>
      </c>
      <c r="H1741" s="938">
        <f t="shared" si="111"/>
        <v>0</v>
      </c>
      <c r="I1741" s="509">
        <f t="shared" si="112"/>
        <v>0</v>
      </c>
      <c r="J1741" s="509"/>
      <c r="K1741" s="640"/>
      <c r="L1741" s="514"/>
      <c r="M1741" s="640"/>
      <c r="N1741" s="514"/>
      <c r="O1741" s="514"/>
    </row>
    <row r="1742" spans="3:15">
      <c r="C1742" s="505">
        <f>IF(D1699="","-",+C1741+1)</f>
        <v>2052</v>
      </c>
      <c r="D1742" s="469">
        <f t="shared" si="109"/>
        <v>0</v>
      </c>
      <c r="E1742" s="511">
        <f t="shared" si="113"/>
        <v>0</v>
      </c>
      <c r="F1742" s="469">
        <f t="shared" si="108"/>
        <v>0</v>
      </c>
      <c r="G1742" s="935">
        <f t="shared" si="110"/>
        <v>0</v>
      </c>
      <c r="H1742" s="938">
        <f t="shared" si="111"/>
        <v>0</v>
      </c>
      <c r="I1742" s="509">
        <f t="shared" si="112"/>
        <v>0</v>
      </c>
      <c r="J1742" s="509"/>
      <c r="K1742" s="640"/>
      <c r="L1742" s="514"/>
      <c r="M1742" s="640"/>
      <c r="N1742" s="514"/>
      <c r="O1742" s="514"/>
    </row>
    <row r="1743" spans="3:15">
      <c r="C1743" s="505">
        <f>IF(D1699="","-",+C1742+1)</f>
        <v>2053</v>
      </c>
      <c r="D1743" s="469">
        <f t="shared" si="109"/>
        <v>0</v>
      </c>
      <c r="E1743" s="511">
        <f t="shared" si="113"/>
        <v>0</v>
      </c>
      <c r="F1743" s="469">
        <f t="shared" si="108"/>
        <v>0</v>
      </c>
      <c r="G1743" s="935">
        <f t="shared" si="110"/>
        <v>0</v>
      </c>
      <c r="H1743" s="938">
        <f t="shared" si="111"/>
        <v>0</v>
      </c>
      <c r="I1743" s="509">
        <f t="shared" si="112"/>
        <v>0</v>
      </c>
      <c r="J1743" s="509"/>
      <c r="K1743" s="640"/>
      <c r="L1743" s="514"/>
      <c r="M1743" s="640"/>
      <c r="N1743" s="514"/>
      <c r="O1743" s="514"/>
    </row>
    <row r="1744" spans="3:15">
      <c r="C1744" s="505">
        <f>IF(D1699="","-",+C1743+1)</f>
        <v>2054</v>
      </c>
      <c r="D1744" s="469">
        <f t="shared" si="109"/>
        <v>0</v>
      </c>
      <c r="E1744" s="511">
        <f t="shared" si="113"/>
        <v>0</v>
      </c>
      <c r="F1744" s="469">
        <f t="shared" si="108"/>
        <v>0</v>
      </c>
      <c r="G1744" s="935">
        <f t="shared" si="110"/>
        <v>0</v>
      </c>
      <c r="H1744" s="938">
        <f t="shared" si="111"/>
        <v>0</v>
      </c>
      <c r="I1744" s="509">
        <f t="shared" si="112"/>
        <v>0</v>
      </c>
      <c r="J1744" s="509"/>
      <c r="K1744" s="640"/>
      <c r="L1744" s="514"/>
      <c r="M1744" s="640"/>
      <c r="N1744" s="514"/>
      <c r="O1744" s="514"/>
    </row>
    <row r="1745" spans="3:15">
      <c r="C1745" s="505">
        <f>IF(D1699="","-",+C1744+1)</f>
        <v>2055</v>
      </c>
      <c r="D1745" s="469">
        <f t="shared" si="109"/>
        <v>0</v>
      </c>
      <c r="E1745" s="511">
        <f t="shared" si="113"/>
        <v>0</v>
      </c>
      <c r="F1745" s="469">
        <f t="shared" si="108"/>
        <v>0</v>
      </c>
      <c r="G1745" s="935">
        <f t="shared" si="110"/>
        <v>0</v>
      </c>
      <c r="H1745" s="938">
        <f t="shared" si="111"/>
        <v>0</v>
      </c>
      <c r="I1745" s="509">
        <f t="shared" si="112"/>
        <v>0</v>
      </c>
      <c r="J1745" s="509"/>
      <c r="K1745" s="640"/>
      <c r="L1745" s="514"/>
      <c r="M1745" s="640"/>
      <c r="N1745" s="514"/>
      <c r="O1745" s="514"/>
    </row>
    <row r="1746" spans="3:15">
      <c r="C1746" s="505">
        <f>IF(D1699="","-",+C1745+1)</f>
        <v>2056</v>
      </c>
      <c r="D1746" s="469">
        <f t="shared" si="109"/>
        <v>0</v>
      </c>
      <c r="E1746" s="511">
        <f t="shared" si="113"/>
        <v>0</v>
      </c>
      <c r="F1746" s="469">
        <f t="shared" si="108"/>
        <v>0</v>
      </c>
      <c r="G1746" s="935">
        <f t="shared" si="110"/>
        <v>0</v>
      </c>
      <c r="H1746" s="938">
        <f t="shared" si="111"/>
        <v>0</v>
      </c>
      <c r="I1746" s="509">
        <f t="shared" si="112"/>
        <v>0</v>
      </c>
      <c r="J1746" s="509"/>
      <c r="K1746" s="640"/>
      <c r="L1746" s="514"/>
      <c r="M1746" s="640"/>
      <c r="N1746" s="514"/>
      <c r="O1746" s="514"/>
    </row>
    <row r="1747" spans="3:15">
      <c r="C1747" s="505">
        <f>IF(D1699="","-",+C1746+1)</f>
        <v>2057</v>
      </c>
      <c r="D1747" s="469">
        <f t="shared" si="109"/>
        <v>0</v>
      </c>
      <c r="E1747" s="511">
        <f t="shared" si="113"/>
        <v>0</v>
      </c>
      <c r="F1747" s="469">
        <f t="shared" si="108"/>
        <v>0</v>
      </c>
      <c r="G1747" s="935">
        <f t="shared" si="110"/>
        <v>0</v>
      </c>
      <c r="H1747" s="938">
        <f t="shared" si="111"/>
        <v>0</v>
      </c>
      <c r="I1747" s="509">
        <f t="shared" si="112"/>
        <v>0</v>
      </c>
      <c r="J1747" s="509"/>
      <c r="K1747" s="640"/>
      <c r="L1747" s="514"/>
      <c r="M1747" s="640"/>
      <c r="N1747" s="514"/>
      <c r="O1747" s="514"/>
    </row>
    <row r="1748" spans="3:15">
      <c r="C1748" s="505">
        <f>IF(D1699="","-",+C1747+1)</f>
        <v>2058</v>
      </c>
      <c r="D1748" s="469">
        <f t="shared" si="109"/>
        <v>0</v>
      </c>
      <c r="E1748" s="511">
        <f t="shared" si="113"/>
        <v>0</v>
      </c>
      <c r="F1748" s="469">
        <f t="shared" si="108"/>
        <v>0</v>
      </c>
      <c r="G1748" s="935">
        <f t="shared" si="110"/>
        <v>0</v>
      </c>
      <c r="H1748" s="938">
        <f t="shared" si="111"/>
        <v>0</v>
      </c>
      <c r="I1748" s="509">
        <f t="shared" si="112"/>
        <v>0</v>
      </c>
      <c r="J1748" s="509"/>
      <c r="K1748" s="640"/>
      <c r="L1748" s="514"/>
      <c r="M1748" s="640"/>
      <c r="N1748" s="514"/>
      <c r="O1748" s="514"/>
    </row>
    <row r="1749" spans="3:15">
      <c r="C1749" s="505">
        <f>IF(D1699="","-",+C1748+1)</f>
        <v>2059</v>
      </c>
      <c r="D1749" s="469">
        <f t="shared" si="109"/>
        <v>0</v>
      </c>
      <c r="E1749" s="511">
        <f t="shared" si="113"/>
        <v>0</v>
      </c>
      <c r="F1749" s="469">
        <f t="shared" si="108"/>
        <v>0</v>
      </c>
      <c r="G1749" s="935">
        <f t="shared" si="110"/>
        <v>0</v>
      </c>
      <c r="H1749" s="938">
        <f t="shared" si="111"/>
        <v>0</v>
      </c>
      <c r="I1749" s="509">
        <f t="shared" si="112"/>
        <v>0</v>
      </c>
      <c r="J1749" s="509"/>
      <c r="K1749" s="640"/>
      <c r="L1749" s="514"/>
      <c r="M1749" s="640"/>
      <c r="N1749" s="514"/>
      <c r="O1749" s="514"/>
    </row>
    <row r="1750" spans="3:15">
      <c r="C1750" s="505">
        <f>IF(D1699="","-",+C1749+1)</f>
        <v>2060</v>
      </c>
      <c r="D1750" s="469">
        <f t="shared" si="109"/>
        <v>0</v>
      </c>
      <c r="E1750" s="511">
        <f t="shared" si="113"/>
        <v>0</v>
      </c>
      <c r="F1750" s="469">
        <f t="shared" si="108"/>
        <v>0</v>
      </c>
      <c r="G1750" s="935">
        <f t="shared" si="110"/>
        <v>0</v>
      </c>
      <c r="H1750" s="938">
        <f t="shared" si="111"/>
        <v>0</v>
      </c>
      <c r="I1750" s="509">
        <f t="shared" si="112"/>
        <v>0</v>
      </c>
      <c r="J1750" s="509"/>
      <c r="K1750" s="640"/>
      <c r="L1750" s="514"/>
      <c r="M1750" s="640"/>
      <c r="N1750" s="514"/>
      <c r="O1750" s="514"/>
    </row>
    <row r="1751" spans="3:15">
      <c r="C1751" s="505">
        <f>IF(D1699="","-",+C1750+1)</f>
        <v>2061</v>
      </c>
      <c r="D1751" s="469">
        <f t="shared" si="109"/>
        <v>0</v>
      </c>
      <c r="E1751" s="511">
        <f t="shared" si="113"/>
        <v>0</v>
      </c>
      <c r="F1751" s="469">
        <f t="shared" si="108"/>
        <v>0</v>
      </c>
      <c r="G1751" s="935">
        <f t="shared" si="110"/>
        <v>0</v>
      </c>
      <c r="H1751" s="938">
        <f t="shared" si="111"/>
        <v>0</v>
      </c>
      <c r="I1751" s="509">
        <f t="shared" si="112"/>
        <v>0</v>
      </c>
      <c r="J1751" s="509"/>
      <c r="K1751" s="640"/>
      <c r="L1751" s="514"/>
      <c r="M1751" s="640"/>
      <c r="N1751" s="514"/>
      <c r="O1751" s="514"/>
    </row>
    <row r="1752" spans="3:15">
      <c r="C1752" s="505">
        <f>IF(D1699="","-",+C1751+1)</f>
        <v>2062</v>
      </c>
      <c r="D1752" s="469">
        <f t="shared" si="109"/>
        <v>0</v>
      </c>
      <c r="E1752" s="511">
        <f t="shared" si="113"/>
        <v>0</v>
      </c>
      <c r="F1752" s="469">
        <f t="shared" si="108"/>
        <v>0</v>
      </c>
      <c r="G1752" s="935">
        <f t="shared" si="110"/>
        <v>0</v>
      </c>
      <c r="H1752" s="938">
        <f t="shared" si="111"/>
        <v>0</v>
      </c>
      <c r="I1752" s="509">
        <f t="shared" si="112"/>
        <v>0</v>
      </c>
      <c r="J1752" s="509"/>
      <c r="K1752" s="640"/>
      <c r="L1752" s="514"/>
      <c r="M1752" s="640"/>
      <c r="N1752" s="514"/>
      <c r="O1752" s="514"/>
    </row>
    <row r="1753" spans="3:15">
      <c r="C1753" s="505">
        <f>IF(D1699="","-",+C1752+1)</f>
        <v>2063</v>
      </c>
      <c r="D1753" s="469">
        <f t="shared" si="109"/>
        <v>0</v>
      </c>
      <c r="E1753" s="511">
        <f t="shared" si="113"/>
        <v>0</v>
      </c>
      <c r="F1753" s="469">
        <f t="shared" si="108"/>
        <v>0</v>
      </c>
      <c r="G1753" s="935">
        <f t="shared" si="110"/>
        <v>0</v>
      </c>
      <c r="H1753" s="938">
        <f t="shared" si="111"/>
        <v>0</v>
      </c>
      <c r="I1753" s="509">
        <f t="shared" si="112"/>
        <v>0</v>
      </c>
      <c r="J1753" s="509"/>
      <c r="K1753" s="640"/>
      <c r="L1753" s="514"/>
      <c r="M1753" s="640"/>
      <c r="N1753" s="514"/>
      <c r="O1753" s="514"/>
    </row>
    <row r="1754" spans="3:15">
      <c r="C1754" s="505">
        <f>IF(D1699="","-",+C1753+1)</f>
        <v>2064</v>
      </c>
      <c r="D1754" s="469">
        <f t="shared" si="109"/>
        <v>0</v>
      </c>
      <c r="E1754" s="511">
        <f t="shared" si="113"/>
        <v>0</v>
      </c>
      <c r="F1754" s="469">
        <f t="shared" si="108"/>
        <v>0</v>
      </c>
      <c r="G1754" s="935">
        <f t="shared" si="110"/>
        <v>0</v>
      </c>
      <c r="H1754" s="938">
        <f t="shared" si="111"/>
        <v>0</v>
      </c>
      <c r="I1754" s="509">
        <f t="shared" si="112"/>
        <v>0</v>
      </c>
      <c r="J1754" s="509"/>
      <c r="K1754" s="640"/>
      <c r="L1754" s="514"/>
      <c r="M1754" s="640"/>
      <c r="N1754" s="514"/>
      <c r="O1754" s="514"/>
    </row>
    <row r="1755" spans="3:15">
      <c r="C1755" s="505">
        <f>IF(D1699="","-",+C1754+1)</f>
        <v>2065</v>
      </c>
      <c r="D1755" s="469">
        <f t="shared" si="109"/>
        <v>0</v>
      </c>
      <c r="E1755" s="511">
        <f t="shared" si="113"/>
        <v>0</v>
      </c>
      <c r="F1755" s="469">
        <f t="shared" si="108"/>
        <v>0</v>
      </c>
      <c r="G1755" s="935">
        <f t="shared" si="110"/>
        <v>0</v>
      </c>
      <c r="H1755" s="938">
        <f t="shared" si="111"/>
        <v>0</v>
      </c>
      <c r="I1755" s="509">
        <f t="shared" si="112"/>
        <v>0</v>
      </c>
      <c r="J1755" s="509"/>
      <c r="K1755" s="640"/>
      <c r="L1755" s="514"/>
      <c r="M1755" s="640"/>
      <c r="N1755" s="514"/>
      <c r="O1755" s="514"/>
    </row>
    <row r="1756" spans="3:15">
      <c r="C1756" s="505">
        <f>IF(D1699="","-",+C1755+1)</f>
        <v>2066</v>
      </c>
      <c r="D1756" s="469">
        <f t="shared" si="109"/>
        <v>0</v>
      </c>
      <c r="E1756" s="511">
        <f t="shared" si="113"/>
        <v>0</v>
      </c>
      <c r="F1756" s="469">
        <f t="shared" si="108"/>
        <v>0</v>
      </c>
      <c r="G1756" s="935">
        <f t="shared" si="110"/>
        <v>0</v>
      </c>
      <c r="H1756" s="938">
        <f t="shared" si="111"/>
        <v>0</v>
      </c>
      <c r="I1756" s="509">
        <f t="shared" si="112"/>
        <v>0</v>
      </c>
      <c r="J1756" s="509"/>
      <c r="K1756" s="640"/>
      <c r="L1756" s="514"/>
      <c r="M1756" s="640"/>
      <c r="N1756" s="514"/>
      <c r="O1756" s="514"/>
    </row>
    <row r="1757" spans="3:15">
      <c r="C1757" s="505">
        <f>IF(D1699="","-",+C1756+1)</f>
        <v>2067</v>
      </c>
      <c r="D1757" s="469">
        <f t="shared" si="109"/>
        <v>0</v>
      </c>
      <c r="E1757" s="511">
        <f t="shared" si="113"/>
        <v>0</v>
      </c>
      <c r="F1757" s="469">
        <f t="shared" si="108"/>
        <v>0</v>
      </c>
      <c r="G1757" s="935">
        <f t="shared" si="110"/>
        <v>0</v>
      </c>
      <c r="H1757" s="938">
        <f t="shared" si="111"/>
        <v>0</v>
      </c>
      <c r="I1757" s="509">
        <f t="shared" si="112"/>
        <v>0</v>
      </c>
      <c r="J1757" s="509"/>
      <c r="K1757" s="640"/>
      <c r="L1757" s="514"/>
      <c r="M1757" s="640"/>
      <c r="N1757" s="514"/>
      <c r="O1757" s="514"/>
    </row>
    <row r="1758" spans="3:15">
      <c r="C1758" s="505">
        <f>IF(D1699="","-",+C1757+1)</f>
        <v>2068</v>
      </c>
      <c r="D1758" s="469">
        <f t="shared" si="109"/>
        <v>0</v>
      </c>
      <c r="E1758" s="511">
        <f t="shared" si="113"/>
        <v>0</v>
      </c>
      <c r="F1758" s="469">
        <f t="shared" si="108"/>
        <v>0</v>
      </c>
      <c r="G1758" s="935">
        <f t="shared" si="110"/>
        <v>0</v>
      </c>
      <c r="H1758" s="938">
        <f t="shared" si="111"/>
        <v>0</v>
      </c>
      <c r="I1758" s="509">
        <f t="shared" si="112"/>
        <v>0</v>
      </c>
      <c r="J1758" s="509"/>
      <c r="K1758" s="640"/>
      <c r="L1758" s="514"/>
      <c r="M1758" s="640"/>
      <c r="N1758" s="514"/>
      <c r="O1758" s="514"/>
    </row>
    <row r="1759" spans="3:15">
      <c r="C1759" s="505">
        <f>IF(D1699="","-",+C1758+1)</f>
        <v>2069</v>
      </c>
      <c r="D1759" s="469">
        <f t="shared" si="109"/>
        <v>0</v>
      </c>
      <c r="E1759" s="511">
        <f t="shared" si="113"/>
        <v>0</v>
      </c>
      <c r="F1759" s="469">
        <f t="shared" si="108"/>
        <v>0</v>
      </c>
      <c r="G1759" s="935">
        <f t="shared" si="110"/>
        <v>0</v>
      </c>
      <c r="H1759" s="938">
        <f t="shared" si="111"/>
        <v>0</v>
      </c>
      <c r="I1759" s="509">
        <f t="shared" si="112"/>
        <v>0</v>
      </c>
      <c r="J1759" s="509"/>
      <c r="K1759" s="640"/>
      <c r="L1759" s="514"/>
      <c r="M1759" s="640"/>
      <c r="N1759" s="514"/>
      <c r="O1759" s="514"/>
    </row>
    <row r="1760" spans="3:15">
      <c r="C1760" s="505">
        <f>IF(D1699="","-",+C1759+1)</f>
        <v>2070</v>
      </c>
      <c r="D1760" s="469">
        <f t="shared" si="109"/>
        <v>0</v>
      </c>
      <c r="E1760" s="511">
        <f t="shared" si="113"/>
        <v>0</v>
      </c>
      <c r="F1760" s="469">
        <f t="shared" si="108"/>
        <v>0</v>
      </c>
      <c r="G1760" s="935">
        <f t="shared" si="110"/>
        <v>0</v>
      </c>
      <c r="H1760" s="938">
        <f t="shared" si="111"/>
        <v>0</v>
      </c>
      <c r="I1760" s="509">
        <f t="shared" si="112"/>
        <v>0</v>
      </c>
      <c r="J1760" s="509"/>
      <c r="K1760" s="640"/>
      <c r="L1760" s="514"/>
      <c r="M1760" s="640"/>
      <c r="N1760" s="514"/>
      <c r="O1760" s="514"/>
    </row>
    <row r="1761" spans="1:16">
      <c r="C1761" s="505">
        <f>IF(D1699="","-",+C1760+1)</f>
        <v>2071</v>
      </c>
      <c r="D1761" s="469">
        <f t="shared" si="109"/>
        <v>0</v>
      </c>
      <c r="E1761" s="511">
        <f t="shared" si="113"/>
        <v>0</v>
      </c>
      <c r="F1761" s="469">
        <f t="shared" si="108"/>
        <v>0</v>
      </c>
      <c r="G1761" s="935">
        <f t="shared" si="110"/>
        <v>0</v>
      </c>
      <c r="H1761" s="938">
        <f t="shared" si="111"/>
        <v>0</v>
      </c>
      <c r="I1761" s="509">
        <f t="shared" si="112"/>
        <v>0</v>
      </c>
      <c r="J1761" s="509"/>
      <c r="K1761" s="640"/>
      <c r="L1761" s="514"/>
      <c r="M1761" s="640"/>
      <c r="N1761" s="514"/>
      <c r="O1761" s="514"/>
    </row>
    <row r="1762" spans="1:16">
      <c r="C1762" s="505">
        <f>IF(D1699="","-",+C1761+1)</f>
        <v>2072</v>
      </c>
      <c r="D1762" s="469">
        <f t="shared" si="109"/>
        <v>0</v>
      </c>
      <c r="E1762" s="511">
        <f t="shared" si="113"/>
        <v>0</v>
      </c>
      <c r="F1762" s="469">
        <f t="shared" si="108"/>
        <v>0</v>
      </c>
      <c r="G1762" s="935">
        <f t="shared" si="110"/>
        <v>0</v>
      </c>
      <c r="H1762" s="938">
        <f t="shared" si="111"/>
        <v>0</v>
      </c>
      <c r="I1762" s="509">
        <f t="shared" si="112"/>
        <v>0</v>
      </c>
      <c r="J1762" s="509"/>
      <c r="K1762" s="640"/>
      <c r="L1762" s="514"/>
      <c r="M1762" s="640"/>
      <c r="N1762" s="514"/>
      <c r="O1762" s="514"/>
    </row>
    <row r="1763" spans="1:16">
      <c r="C1763" s="505">
        <f>IF(D1699="","-",+C1762+1)</f>
        <v>2073</v>
      </c>
      <c r="D1763" s="469">
        <f t="shared" si="109"/>
        <v>0</v>
      </c>
      <c r="E1763" s="511">
        <f t="shared" si="113"/>
        <v>0</v>
      </c>
      <c r="F1763" s="469">
        <f t="shared" si="108"/>
        <v>0</v>
      </c>
      <c r="G1763" s="935">
        <f t="shared" si="110"/>
        <v>0</v>
      </c>
      <c r="H1763" s="938">
        <f t="shared" si="111"/>
        <v>0</v>
      </c>
      <c r="I1763" s="509">
        <f t="shared" si="112"/>
        <v>0</v>
      </c>
      <c r="J1763" s="509"/>
      <c r="K1763" s="640"/>
      <c r="L1763" s="514"/>
      <c r="M1763" s="640"/>
      <c r="N1763" s="514"/>
      <c r="O1763" s="514"/>
    </row>
    <row r="1764" spans="1:16" ht="13.5" thickBot="1">
      <c r="C1764" s="515">
        <f>IF(D1699="","-",+C1763+1)</f>
        <v>2074</v>
      </c>
      <c r="D1764" s="516">
        <f t="shared" si="109"/>
        <v>0</v>
      </c>
      <c r="E1764" s="517">
        <f t="shared" si="113"/>
        <v>0</v>
      </c>
      <c r="F1764" s="516">
        <f t="shared" si="108"/>
        <v>0</v>
      </c>
      <c r="G1764" s="946">
        <f t="shared" si="110"/>
        <v>0</v>
      </c>
      <c r="H1764" s="946">
        <f t="shared" si="111"/>
        <v>0</v>
      </c>
      <c r="I1764" s="519">
        <f t="shared" si="112"/>
        <v>0</v>
      </c>
      <c r="J1764" s="509"/>
      <c r="K1764" s="641"/>
      <c r="L1764" s="521"/>
      <c r="M1764" s="641"/>
      <c r="N1764" s="521"/>
      <c r="O1764" s="521"/>
    </row>
    <row r="1765" spans="1:16">
      <c r="C1765" s="469" t="s">
        <v>288</v>
      </c>
      <c r="D1765" s="915"/>
      <c r="E1765" s="469"/>
      <c r="F1765" s="915"/>
      <c r="G1765" s="915">
        <f>SUM(G1705:G1764)</f>
        <v>0</v>
      </c>
      <c r="H1765" s="915">
        <f>SUM(H1705:H1764)</f>
        <v>0</v>
      </c>
      <c r="I1765" s="915">
        <f>SUM(I1705:I1764)</f>
        <v>0</v>
      </c>
      <c r="J1765" s="915"/>
      <c r="K1765" s="915"/>
      <c r="L1765" s="915"/>
      <c r="M1765" s="915"/>
      <c r="N1765" s="915"/>
      <c r="O1765" s="4"/>
    </row>
    <row r="1766" spans="1:16">
      <c r="D1766" s="79"/>
      <c r="E1766" s="4"/>
      <c r="F1766" s="4"/>
      <c r="G1766" s="4"/>
      <c r="H1766" s="914"/>
      <c r="I1766" s="914"/>
      <c r="J1766" s="915"/>
      <c r="K1766" s="914"/>
      <c r="L1766" s="914"/>
      <c r="M1766" s="914"/>
      <c r="N1766" s="914"/>
      <c r="O1766" s="4"/>
    </row>
    <row r="1767" spans="1:16">
      <c r="C1767" s="4" t="s">
        <v>595</v>
      </c>
      <c r="D1767" s="79"/>
      <c r="E1767" s="4"/>
      <c r="F1767" s="4"/>
      <c r="G1767" s="4"/>
      <c r="H1767" s="914"/>
      <c r="I1767" s="914"/>
      <c r="J1767" s="915"/>
      <c r="K1767" s="914"/>
      <c r="L1767" s="914"/>
      <c r="M1767" s="914"/>
      <c r="N1767" s="914"/>
      <c r="O1767" s="4"/>
    </row>
    <row r="1768" spans="1:16">
      <c r="C1768" s="4"/>
      <c r="D1768" s="79"/>
      <c r="E1768" s="4"/>
      <c r="F1768" s="4"/>
      <c r="G1768" s="4"/>
      <c r="H1768" s="914"/>
      <c r="I1768" s="914"/>
      <c r="J1768" s="915"/>
      <c r="K1768" s="914"/>
      <c r="L1768" s="914"/>
      <c r="M1768" s="914"/>
      <c r="N1768" s="914"/>
      <c r="O1768" s="4"/>
    </row>
    <row r="1769" spans="1:16">
      <c r="C1769" s="479" t="s">
        <v>924</v>
      </c>
      <c r="D1769" s="469"/>
      <c r="E1769" s="469"/>
      <c r="F1769" s="469"/>
      <c r="G1769" s="915"/>
      <c r="H1769" s="915"/>
      <c r="I1769" s="471"/>
      <c r="J1769" s="471"/>
      <c r="K1769" s="471"/>
      <c r="L1769" s="471"/>
      <c r="M1769" s="471"/>
      <c r="N1769" s="471"/>
      <c r="O1769" s="4"/>
    </row>
    <row r="1770" spans="1:16">
      <c r="C1770" s="479" t="s">
        <v>476</v>
      </c>
      <c r="D1770" s="469"/>
      <c r="E1770" s="469"/>
      <c r="F1770" s="469"/>
      <c r="G1770" s="915"/>
      <c r="H1770" s="915"/>
      <c r="I1770" s="471"/>
      <c r="J1770" s="471"/>
      <c r="K1770" s="471"/>
      <c r="L1770" s="471"/>
      <c r="M1770" s="471"/>
      <c r="N1770" s="471"/>
      <c r="O1770" s="4"/>
    </row>
    <row r="1771" spans="1:16">
      <c r="C1771" s="470" t="s">
        <v>289</v>
      </c>
      <c r="D1771" s="469"/>
      <c r="E1771" s="469"/>
      <c r="F1771" s="469"/>
      <c r="G1771" s="915"/>
      <c r="H1771" s="915"/>
      <c r="I1771" s="471"/>
      <c r="J1771" s="471"/>
      <c r="K1771" s="471"/>
      <c r="L1771" s="471"/>
      <c r="M1771" s="471"/>
      <c r="N1771" s="471"/>
      <c r="O1771" s="4"/>
    </row>
    <row r="1772" spans="1:16">
      <c r="C1772" s="470"/>
      <c r="D1772" s="469"/>
      <c r="E1772" s="469"/>
      <c r="F1772" s="469"/>
      <c r="G1772" s="915"/>
      <c r="H1772" s="915"/>
      <c r="I1772" s="471"/>
      <c r="J1772" s="471"/>
      <c r="K1772" s="471"/>
      <c r="L1772" s="471"/>
      <c r="M1772" s="471"/>
      <c r="N1772" s="471"/>
      <c r="O1772" s="4"/>
    </row>
    <row r="1773" spans="1:16">
      <c r="C1773" s="1275" t="s">
        <v>460</v>
      </c>
      <c r="D1773" s="1275"/>
      <c r="E1773" s="1275"/>
      <c r="F1773" s="1275"/>
      <c r="G1773" s="1275"/>
      <c r="H1773" s="1275"/>
      <c r="I1773" s="1275"/>
      <c r="J1773" s="1275"/>
      <c r="K1773" s="1275"/>
      <c r="L1773" s="1275"/>
      <c r="M1773" s="1275"/>
      <c r="N1773" s="1275"/>
      <c r="O1773" s="1275"/>
    </row>
    <row r="1774" spans="1:16">
      <c r="C1774" s="1275"/>
      <c r="D1774" s="1275"/>
      <c r="E1774" s="1275"/>
      <c r="F1774" s="1275"/>
      <c r="G1774" s="1275"/>
      <c r="H1774" s="1275"/>
      <c r="I1774" s="1275"/>
      <c r="J1774" s="1275"/>
      <c r="K1774" s="1275"/>
      <c r="L1774" s="1275"/>
      <c r="M1774" s="1275"/>
      <c r="N1774" s="1275"/>
      <c r="O1774" s="1275"/>
    </row>
    <row r="1776" spans="1:16" ht="20.25">
      <c r="A1776" s="411" t="s">
        <v>921</v>
      </c>
      <c r="B1776" s="4"/>
      <c r="C1776" s="4"/>
      <c r="D1776" s="79"/>
      <c r="E1776" s="4"/>
      <c r="F1776" s="81"/>
      <c r="G1776" s="4"/>
      <c r="H1776" s="914"/>
      <c r="K1776" s="11"/>
      <c r="L1776" s="11"/>
      <c r="M1776" s="11"/>
      <c r="N1776" s="11" t="str">
        <f>"Page "&amp;SUM(P$6:P1776)&amp;" of "</f>
        <v xml:space="preserve">Page 20 of </v>
      </c>
      <c r="O1776" s="412">
        <f>COUNT(P$6:P$59579)</f>
        <v>22</v>
      </c>
      <c r="P1776" s="4">
        <v>1</v>
      </c>
    </row>
    <row r="1777" spans="2:15">
      <c r="B1777" s="4"/>
      <c r="C1777" s="4"/>
      <c r="D1777" s="79"/>
      <c r="E1777" s="4"/>
      <c r="F1777" s="4"/>
      <c r="G1777" s="4"/>
      <c r="H1777" s="914"/>
      <c r="I1777" s="4"/>
      <c r="J1777" s="4"/>
      <c r="K1777" s="4"/>
      <c r="L1777" s="4"/>
      <c r="M1777" s="4"/>
      <c r="N1777" s="4"/>
      <c r="O1777" s="4"/>
    </row>
    <row r="1778" spans="2:15" ht="18">
      <c r="B1778" s="413" t="s">
        <v>174</v>
      </c>
      <c r="C1778" s="472" t="s">
        <v>290</v>
      </c>
      <c r="D1778" s="79"/>
      <c r="E1778" s="4"/>
      <c r="F1778" s="4"/>
      <c r="G1778" s="4"/>
      <c r="H1778" s="914"/>
      <c r="I1778" s="914"/>
      <c r="J1778" s="915"/>
      <c r="K1778" s="914"/>
      <c r="L1778" s="914"/>
      <c r="M1778" s="914"/>
      <c r="N1778" s="914"/>
      <c r="O1778" s="4"/>
    </row>
    <row r="1779" spans="2:15" ht="18.75">
      <c r="B1779" s="413"/>
      <c r="C1779" s="13"/>
      <c r="D1779" s="79"/>
      <c r="E1779" s="4"/>
      <c r="F1779" s="4"/>
      <c r="G1779" s="4"/>
      <c r="H1779" s="914"/>
      <c r="I1779" s="914"/>
      <c r="J1779" s="915"/>
      <c r="K1779" s="914"/>
      <c r="L1779" s="914"/>
      <c r="M1779" s="914"/>
      <c r="N1779" s="914"/>
      <c r="O1779" s="4"/>
    </row>
    <row r="1780" spans="2:15" ht="18.75">
      <c r="B1780" s="413"/>
      <c r="C1780" s="13" t="s">
        <v>291</v>
      </c>
      <c r="D1780" s="79"/>
      <c r="E1780" s="4"/>
      <c r="F1780" s="4"/>
      <c r="G1780" s="4"/>
      <c r="H1780" s="914"/>
      <c r="I1780" s="914"/>
      <c r="J1780" s="915"/>
      <c r="K1780" s="914"/>
      <c r="L1780" s="914"/>
      <c r="M1780" s="914"/>
      <c r="N1780" s="914"/>
      <c r="O1780" s="4"/>
    </row>
    <row r="1781" spans="2:15" ht="15.75" thickBot="1">
      <c r="C1781" s="247"/>
      <c r="D1781" s="79"/>
      <c r="E1781" s="4"/>
      <c r="F1781" s="4"/>
      <c r="G1781" s="4"/>
      <c r="H1781" s="914"/>
      <c r="I1781" s="914"/>
      <c r="J1781" s="915"/>
      <c r="K1781" s="914"/>
      <c r="L1781" s="914"/>
      <c r="M1781" s="914"/>
      <c r="N1781" s="914"/>
      <c r="O1781" s="4"/>
    </row>
    <row r="1782" spans="2:15" ht="15.75">
      <c r="C1782" s="414" t="s">
        <v>292</v>
      </c>
      <c r="D1782" s="79"/>
      <c r="E1782" s="4"/>
      <c r="F1782" s="4"/>
      <c r="G1782" s="948"/>
      <c r="H1782" s="4" t="s">
        <v>271</v>
      </c>
      <c r="I1782" s="4"/>
      <c r="J1782" s="4"/>
      <c r="K1782" s="473" t="s">
        <v>296</v>
      </c>
      <c r="L1782" s="474"/>
      <c r="M1782" s="475"/>
      <c r="N1782" s="917">
        <f>VLOOKUP(I1788,C1795:O1854,5)</f>
        <v>8791.5118682686643</v>
      </c>
      <c r="O1782" s="4"/>
    </row>
    <row r="1783" spans="2:15" ht="15.75">
      <c r="C1783" s="414"/>
      <c r="D1783" s="79"/>
      <c r="E1783" s="4"/>
      <c r="F1783" s="4"/>
      <c r="G1783" s="4"/>
      <c r="H1783" s="918"/>
      <c r="I1783" s="918"/>
      <c r="J1783" s="919"/>
      <c r="K1783" s="478" t="s">
        <v>297</v>
      </c>
      <c r="L1783" s="920"/>
      <c r="M1783" s="4"/>
      <c r="N1783" s="921">
        <f>VLOOKUP(I1788,C1795:O1854,6)</f>
        <v>8791.5118682686643</v>
      </c>
      <c r="O1783" s="4"/>
    </row>
    <row r="1784" spans="2:15" ht="15.75" thickBot="1">
      <c r="C1784" s="479" t="s">
        <v>293</v>
      </c>
      <c r="D1784" s="1276" t="s">
        <v>943</v>
      </c>
      <c r="E1784" s="1276"/>
      <c r="F1784" s="1276"/>
      <c r="G1784" s="1276"/>
      <c r="H1784" s="918"/>
      <c r="I1784" s="918"/>
      <c r="J1784" s="915"/>
      <c r="K1784" s="922" t="s">
        <v>450</v>
      </c>
      <c r="L1784" s="923"/>
      <c r="M1784" s="923"/>
      <c r="N1784" s="924">
        <f>+N1783-N1782</f>
        <v>0</v>
      </c>
      <c r="O1784" s="4"/>
    </row>
    <row r="1785" spans="2:15">
      <c r="C1785" s="481"/>
      <c r="D1785" s="482"/>
      <c r="E1785" s="469"/>
      <c r="F1785" s="469"/>
      <c r="G1785" s="483"/>
      <c r="H1785" s="914"/>
      <c r="I1785" s="914"/>
      <c r="J1785" s="915"/>
      <c r="K1785" s="914"/>
      <c r="L1785" s="914"/>
      <c r="M1785" s="914"/>
      <c r="N1785" s="914"/>
      <c r="O1785" s="4"/>
    </row>
    <row r="1786" spans="2:15" ht="13.5" thickBot="1">
      <c r="C1786" s="481"/>
      <c r="D1786" s="925"/>
      <c r="E1786" s="483"/>
      <c r="F1786" s="483"/>
      <c r="G1786" s="483"/>
      <c r="H1786" s="483"/>
      <c r="I1786" s="483"/>
      <c r="J1786" s="483"/>
      <c r="K1786" s="483"/>
      <c r="L1786" s="483"/>
      <c r="M1786" s="483"/>
      <c r="N1786" s="483"/>
      <c r="O1786" s="4"/>
    </row>
    <row r="1787" spans="2:15" ht="13.5" thickBot="1">
      <c r="C1787" s="484" t="s">
        <v>294</v>
      </c>
      <c r="D1787" s="485"/>
      <c r="E1787" s="485"/>
      <c r="F1787" s="485"/>
      <c r="G1787" s="485"/>
      <c r="H1787" s="485"/>
      <c r="I1787" s="486"/>
      <c r="K1787" s="4"/>
      <c r="L1787" s="4"/>
      <c r="M1787" s="4"/>
      <c r="N1787" s="4"/>
      <c r="O1787" s="4"/>
    </row>
    <row r="1788" spans="2:15" ht="15">
      <c r="C1788" s="487" t="s">
        <v>272</v>
      </c>
      <c r="D1788" s="926">
        <f>9293+45320</f>
        <v>54613</v>
      </c>
      <c r="E1788" s="4" t="s">
        <v>273</v>
      </c>
      <c r="G1788" s="79"/>
      <c r="H1788" s="79"/>
      <c r="I1788" s="488">
        <v>2018</v>
      </c>
      <c r="J1788" s="135"/>
      <c r="K1788" s="1277" t="s">
        <v>459</v>
      </c>
      <c r="L1788" s="1277"/>
      <c r="M1788" s="1277"/>
      <c r="N1788" s="1277"/>
      <c r="O1788" s="1277"/>
    </row>
    <row r="1789" spans="2:15">
      <c r="C1789" s="487" t="s">
        <v>275</v>
      </c>
      <c r="D1789" s="636">
        <v>2018</v>
      </c>
      <c r="E1789" s="487" t="s">
        <v>276</v>
      </c>
      <c r="F1789" s="79"/>
      <c r="H1789"/>
      <c r="I1789" s="927">
        <f>IF(G1782="",0,$F$15)</f>
        <v>0</v>
      </c>
      <c r="J1789" s="489"/>
      <c r="K1789" s="915" t="s">
        <v>459</v>
      </c>
    </row>
    <row r="1790" spans="2:15">
      <c r="C1790" s="487" t="s">
        <v>277</v>
      </c>
      <c r="D1790" s="926">
        <v>6</v>
      </c>
      <c r="E1790" s="487" t="s">
        <v>278</v>
      </c>
      <c r="F1790" s="79"/>
      <c r="H1790"/>
      <c r="I1790" s="490">
        <f>$G$70</f>
        <v>0.14996626714737105</v>
      </c>
      <c r="J1790" s="81"/>
      <c r="K1790" t="str">
        <f>"          INPUT PROJECTED ARR (WITH &amp; WITHOUT INCENTIVES) FROM EACH PRIOR YEAR"</f>
        <v xml:space="preserve">          INPUT PROJECTED ARR (WITH &amp; WITHOUT INCENTIVES) FROM EACH PRIOR YEAR</v>
      </c>
    </row>
    <row r="1791" spans="2:15">
      <c r="C1791" s="487" t="s">
        <v>279</v>
      </c>
      <c r="D1791" s="959">
        <f>G$79</f>
        <v>42</v>
      </c>
      <c r="E1791" s="487" t="s">
        <v>280</v>
      </c>
      <c r="F1791" s="79"/>
      <c r="H1791"/>
      <c r="I1791" s="490">
        <f>IF(G1782="",I1790,$G$67)</f>
        <v>0.14996626714737105</v>
      </c>
      <c r="J1791" s="81"/>
      <c r="K1791" t="s">
        <v>357</v>
      </c>
    </row>
    <row r="1792" spans="2:15" ht="13.5" thickBot="1">
      <c r="C1792" s="487" t="s">
        <v>281</v>
      </c>
      <c r="D1792" s="926" t="s">
        <v>923</v>
      </c>
      <c r="E1792" s="492" t="s">
        <v>282</v>
      </c>
      <c r="F1792" s="493"/>
      <c r="G1792" s="494"/>
      <c r="H1792" s="494"/>
      <c r="I1792" s="924">
        <f>IF(D1788=0,0,D1788/D1791)</f>
        <v>1300.3095238095239</v>
      </c>
      <c r="J1792" s="915"/>
      <c r="K1792" s="915" t="s">
        <v>363</v>
      </c>
      <c r="L1792" s="915"/>
      <c r="M1792" s="915"/>
      <c r="N1792" s="915"/>
      <c r="O1792" s="4"/>
    </row>
    <row r="1793" spans="1:15" ht="51">
      <c r="A1793" s="12"/>
      <c r="B1793" s="12"/>
      <c r="C1793" s="495" t="s">
        <v>272</v>
      </c>
      <c r="D1793" s="928" t="s">
        <v>283</v>
      </c>
      <c r="E1793" s="929" t="s">
        <v>284</v>
      </c>
      <c r="F1793" s="928" t="s">
        <v>285</v>
      </c>
      <c r="G1793" s="929" t="s">
        <v>356</v>
      </c>
      <c r="H1793" s="930" t="s">
        <v>356</v>
      </c>
      <c r="I1793" s="495" t="s">
        <v>295</v>
      </c>
      <c r="J1793" s="499"/>
      <c r="K1793" s="929" t="s">
        <v>365</v>
      </c>
      <c r="L1793" s="931"/>
      <c r="M1793" s="929" t="s">
        <v>365</v>
      </c>
      <c r="N1793" s="931"/>
      <c r="O1793" s="931"/>
    </row>
    <row r="1794" spans="1:15" ht="13.5" thickBot="1">
      <c r="C1794" s="500" t="s">
        <v>177</v>
      </c>
      <c r="D1794" s="501" t="s">
        <v>178</v>
      </c>
      <c r="E1794" s="500" t="s">
        <v>37</v>
      </c>
      <c r="F1794" s="501" t="s">
        <v>178</v>
      </c>
      <c r="G1794" s="932" t="s">
        <v>298</v>
      </c>
      <c r="H1794" s="933" t="s">
        <v>300</v>
      </c>
      <c r="I1794" s="500" t="s">
        <v>389</v>
      </c>
      <c r="J1794" s="504"/>
      <c r="K1794" s="932" t="s">
        <v>287</v>
      </c>
      <c r="L1794" s="934"/>
      <c r="M1794" s="932" t="s">
        <v>300</v>
      </c>
      <c r="N1794" s="934"/>
      <c r="O1794" s="934"/>
    </row>
    <row r="1795" spans="1:15">
      <c r="C1795" s="505">
        <f>IF(D1789= "","-",D1789)</f>
        <v>2018</v>
      </c>
      <c r="D1795" s="469">
        <f>+D1788</f>
        <v>54613</v>
      </c>
      <c r="E1795" s="935">
        <f>+I1792/12*(12-D1790)</f>
        <v>650.15476190476193</v>
      </c>
      <c r="F1795" s="469">
        <f t="shared" ref="F1795:F1854" si="114">+D1795-E1795</f>
        <v>53962.845238095237</v>
      </c>
      <c r="G1795" s="936">
        <f>+$I$1790*((D1795+F1795)/2)+E1795</f>
        <v>8791.5118682686643</v>
      </c>
      <c r="H1795" s="937">
        <f>$I$1791*((D1795+F1795)/2)+E1795</f>
        <v>8791.5118682686643</v>
      </c>
      <c r="I1795" s="509">
        <f>+H1795-G1795</f>
        <v>0</v>
      </c>
      <c r="J1795" s="509"/>
      <c r="K1795" s="639">
        <v>836737</v>
      </c>
      <c r="L1795" s="510"/>
      <c r="M1795" s="639">
        <v>836737</v>
      </c>
      <c r="N1795" s="510"/>
      <c r="O1795" s="510"/>
    </row>
    <row r="1796" spans="1:15">
      <c r="C1796" s="505">
        <f>IF(D1789="","-",+C1795+1)</f>
        <v>2019</v>
      </c>
      <c r="D1796" s="469">
        <f>F1795</f>
        <v>53962.845238095237</v>
      </c>
      <c r="E1796" s="511">
        <f>IF(D1796&gt;$I$1792,$I$1792,D1796)</f>
        <v>1300.3095238095239</v>
      </c>
      <c r="F1796" s="469">
        <f t="shared" si="114"/>
        <v>52662.53571428571</v>
      </c>
      <c r="G1796" s="935">
        <f t="shared" ref="G1796:G1854" si="115">+$I$1790*((D1796+F1796)/2)+E1796</f>
        <v>9295.4147061070089</v>
      </c>
      <c r="H1796" s="938">
        <f t="shared" ref="H1796:H1854" si="116">$I$1791*((D1796+F1796)/2)+E1796</f>
        <v>9295.4147061070089</v>
      </c>
      <c r="I1796" s="509">
        <f t="shared" ref="I1796:I1854" si="117">+H1796-G1796</f>
        <v>0</v>
      </c>
      <c r="J1796" s="509"/>
      <c r="K1796" s="640"/>
      <c r="L1796" s="514"/>
      <c r="M1796" s="640"/>
      <c r="N1796" s="514"/>
      <c r="O1796" s="514"/>
    </row>
    <row r="1797" spans="1:15">
      <c r="C1797" s="505">
        <f>IF(D1789="","-",+C1796+1)</f>
        <v>2020</v>
      </c>
      <c r="D1797" s="469">
        <f t="shared" ref="D1797:D1854" si="118">F1796</f>
        <v>52662.53571428571</v>
      </c>
      <c r="E1797" s="511">
        <f t="shared" ref="E1797:E1854" si="119">IF(D1797&gt;$I$1792,$I$1792,D1797)</f>
        <v>1300.3095238095239</v>
      </c>
      <c r="F1797" s="469">
        <f t="shared" si="114"/>
        <v>51362.226190476184</v>
      </c>
      <c r="G1797" s="935">
        <f t="shared" si="115"/>
        <v>9100.4121406851191</v>
      </c>
      <c r="H1797" s="938">
        <f t="shared" si="116"/>
        <v>9100.4121406851191</v>
      </c>
      <c r="I1797" s="509">
        <f t="shared" si="117"/>
        <v>0</v>
      </c>
      <c r="J1797" s="509"/>
      <c r="K1797" s="640"/>
      <c r="L1797" s="514"/>
      <c r="M1797" s="640"/>
      <c r="N1797" s="514"/>
      <c r="O1797" s="514"/>
    </row>
    <row r="1798" spans="1:15">
      <c r="C1798" s="505">
        <f>IF(D1789="","-",+C1797+1)</f>
        <v>2021</v>
      </c>
      <c r="D1798" s="469">
        <f t="shared" si="118"/>
        <v>51362.226190476184</v>
      </c>
      <c r="E1798" s="511">
        <f t="shared" si="119"/>
        <v>1300.3095238095239</v>
      </c>
      <c r="F1798" s="469">
        <f t="shared" si="114"/>
        <v>50061.916666666657</v>
      </c>
      <c r="G1798" s="935">
        <f t="shared" si="115"/>
        <v>8905.4095752632275</v>
      </c>
      <c r="H1798" s="938">
        <f t="shared" si="116"/>
        <v>8905.4095752632275</v>
      </c>
      <c r="I1798" s="509">
        <f t="shared" si="117"/>
        <v>0</v>
      </c>
      <c r="J1798" s="509"/>
      <c r="K1798" s="640"/>
      <c r="L1798" s="514"/>
      <c r="M1798" s="640"/>
      <c r="N1798" s="514"/>
      <c r="O1798" s="514"/>
    </row>
    <row r="1799" spans="1:15">
      <c r="C1799" s="505">
        <f>IF(D1789="","-",+C1798+1)</f>
        <v>2022</v>
      </c>
      <c r="D1799" s="469">
        <f t="shared" si="118"/>
        <v>50061.916666666657</v>
      </c>
      <c r="E1799" s="511">
        <f t="shared" si="119"/>
        <v>1300.3095238095239</v>
      </c>
      <c r="F1799" s="469">
        <f t="shared" si="114"/>
        <v>48761.60714285713</v>
      </c>
      <c r="G1799" s="935">
        <f t="shared" si="115"/>
        <v>8710.4070098413376</v>
      </c>
      <c r="H1799" s="938">
        <f t="shared" si="116"/>
        <v>8710.4070098413376</v>
      </c>
      <c r="I1799" s="509">
        <f t="shared" si="117"/>
        <v>0</v>
      </c>
      <c r="J1799" s="509"/>
      <c r="K1799" s="640"/>
      <c r="L1799" s="514"/>
      <c r="M1799" s="640"/>
      <c r="N1799" s="514"/>
      <c r="O1799" s="514"/>
    </row>
    <row r="1800" spans="1:15">
      <c r="C1800" s="505">
        <f>IF(D1789="","-",+C1799+1)</f>
        <v>2023</v>
      </c>
      <c r="D1800" s="469">
        <f t="shared" si="118"/>
        <v>48761.60714285713</v>
      </c>
      <c r="E1800" s="511">
        <f t="shared" si="119"/>
        <v>1300.3095238095239</v>
      </c>
      <c r="F1800" s="469">
        <f t="shared" si="114"/>
        <v>47461.297619047604</v>
      </c>
      <c r="G1800" s="935">
        <f t="shared" si="115"/>
        <v>8515.4044444194478</v>
      </c>
      <c r="H1800" s="938">
        <f t="shared" si="116"/>
        <v>8515.4044444194478</v>
      </c>
      <c r="I1800" s="509">
        <f t="shared" si="117"/>
        <v>0</v>
      </c>
      <c r="J1800" s="509"/>
      <c r="K1800" s="640"/>
      <c r="L1800" s="514"/>
      <c r="M1800" s="640"/>
      <c r="N1800" s="514"/>
      <c r="O1800" s="514"/>
    </row>
    <row r="1801" spans="1:15">
      <c r="C1801" s="505">
        <f>IF(D1789="","-",+C1800+1)</f>
        <v>2024</v>
      </c>
      <c r="D1801" s="469">
        <f t="shared" si="118"/>
        <v>47461.297619047604</v>
      </c>
      <c r="E1801" s="511">
        <f t="shared" si="119"/>
        <v>1300.3095238095239</v>
      </c>
      <c r="F1801" s="469">
        <f t="shared" si="114"/>
        <v>46160.988095238077</v>
      </c>
      <c r="G1801" s="935">
        <f t="shared" si="115"/>
        <v>8320.4018789975562</v>
      </c>
      <c r="H1801" s="938">
        <f t="shared" si="116"/>
        <v>8320.4018789975562</v>
      </c>
      <c r="I1801" s="509">
        <f t="shared" si="117"/>
        <v>0</v>
      </c>
      <c r="J1801" s="509"/>
      <c r="K1801" s="640"/>
      <c r="L1801" s="514"/>
      <c r="M1801" s="640"/>
      <c r="N1801" s="514"/>
      <c r="O1801" s="514"/>
    </row>
    <row r="1802" spans="1:15">
      <c r="C1802" s="505">
        <f>IF(D1789="","-",+C1801+1)</f>
        <v>2025</v>
      </c>
      <c r="D1802" s="469">
        <f t="shared" si="118"/>
        <v>46160.988095238077</v>
      </c>
      <c r="E1802" s="511">
        <f t="shared" si="119"/>
        <v>1300.3095238095239</v>
      </c>
      <c r="F1802" s="469">
        <f t="shared" si="114"/>
        <v>44860.678571428551</v>
      </c>
      <c r="G1802" s="935">
        <f t="shared" si="115"/>
        <v>8125.3993135756664</v>
      </c>
      <c r="H1802" s="938">
        <f t="shared" si="116"/>
        <v>8125.3993135756664</v>
      </c>
      <c r="I1802" s="509">
        <f t="shared" si="117"/>
        <v>0</v>
      </c>
      <c r="J1802" s="509"/>
      <c r="K1802" s="640"/>
      <c r="L1802" s="514"/>
      <c r="M1802" s="640"/>
      <c r="N1802" s="514"/>
      <c r="O1802" s="514"/>
    </row>
    <row r="1803" spans="1:15">
      <c r="C1803" s="505">
        <f>IF(D1789="","-",+C1802+1)</f>
        <v>2026</v>
      </c>
      <c r="D1803" s="469">
        <f t="shared" si="118"/>
        <v>44860.678571428551</v>
      </c>
      <c r="E1803" s="511">
        <f t="shared" si="119"/>
        <v>1300.3095238095239</v>
      </c>
      <c r="F1803" s="469">
        <f t="shared" si="114"/>
        <v>43560.369047619024</v>
      </c>
      <c r="G1803" s="935">
        <f t="shared" si="115"/>
        <v>7930.3967481537766</v>
      </c>
      <c r="H1803" s="938">
        <f t="shared" si="116"/>
        <v>7930.3967481537766</v>
      </c>
      <c r="I1803" s="509">
        <f t="shared" si="117"/>
        <v>0</v>
      </c>
      <c r="J1803" s="509"/>
      <c r="K1803" s="640"/>
      <c r="L1803" s="514"/>
      <c r="M1803" s="640"/>
      <c r="N1803" s="514"/>
      <c r="O1803" s="514"/>
    </row>
    <row r="1804" spans="1:15">
      <c r="C1804" s="505">
        <f>IF(D1789="","-",+C1803+1)</f>
        <v>2027</v>
      </c>
      <c r="D1804" s="469">
        <f t="shared" si="118"/>
        <v>43560.369047619024</v>
      </c>
      <c r="E1804" s="511">
        <f t="shared" si="119"/>
        <v>1300.3095238095239</v>
      </c>
      <c r="F1804" s="469">
        <f t="shared" si="114"/>
        <v>42260.059523809497</v>
      </c>
      <c r="G1804" s="935">
        <f t="shared" si="115"/>
        <v>7735.3941827318858</v>
      </c>
      <c r="H1804" s="938">
        <f t="shared" si="116"/>
        <v>7735.3941827318858</v>
      </c>
      <c r="I1804" s="509">
        <f t="shared" si="117"/>
        <v>0</v>
      </c>
      <c r="J1804" s="509"/>
      <c r="K1804" s="640"/>
      <c r="L1804" s="514"/>
      <c r="M1804" s="640"/>
      <c r="N1804" s="514"/>
      <c r="O1804" s="514"/>
    </row>
    <row r="1805" spans="1:15">
      <c r="C1805" s="505">
        <f>IF(D1789="","-",+C1804+1)</f>
        <v>2028</v>
      </c>
      <c r="D1805" s="469">
        <f t="shared" si="118"/>
        <v>42260.059523809497</v>
      </c>
      <c r="E1805" s="511">
        <f t="shared" si="119"/>
        <v>1300.3095238095239</v>
      </c>
      <c r="F1805" s="469">
        <f t="shared" si="114"/>
        <v>40959.749999999971</v>
      </c>
      <c r="G1805" s="935">
        <f t="shared" si="115"/>
        <v>7540.391617309996</v>
      </c>
      <c r="H1805" s="938">
        <f t="shared" si="116"/>
        <v>7540.391617309996</v>
      </c>
      <c r="I1805" s="509">
        <f t="shared" si="117"/>
        <v>0</v>
      </c>
      <c r="J1805" s="509"/>
      <c r="K1805" s="640"/>
      <c r="L1805" s="514"/>
      <c r="M1805" s="640"/>
      <c r="N1805" s="514"/>
      <c r="O1805" s="514"/>
    </row>
    <row r="1806" spans="1:15">
      <c r="C1806" s="505">
        <f>IF(D1789="","-",+C1805+1)</f>
        <v>2029</v>
      </c>
      <c r="D1806" s="469">
        <f t="shared" si="118"/>
        <v>40959.749999999971</v>
      </c>
      <c r="E1806" s="511">
        <f t="shared" si="119"/>
        <v>1300.3095238095239</v>
      </c>
      <c r="F1806" s="469">
        <f t="shared" si="114"/>
        <v>39659.440476190444</v>
      </c>
      <c r="G1806" s="935">
        <f t="shared" si="115"/>
        <v>7345.3890518881053</v>
      </c>
      <c r="H1806" s="938">
        <f t="shared" si="116"/>
        <v>7345.3890518881053</v>
      </c>
      <c r="I1806" s="509">
        <f t="shared" si="117"/>
        <v>0</v>
      </c>
      <c r="J1806" s="509"/>
      <c r="K1806" s="640"/>
      <c r="L1806" s="514"/>
      <c r="M1806" s="640"/>
      <c r="N1806" s="514"/>
      <c r="O1806" s="514"/>
    </row>
    <row r="1807" spans="1:15">
      <c r="C1807" s="505">
        <f>IF(D1789="","-",+C1806+1)</f>
        <v>2030</v>
      </c>
      <c r="D1807" s="469">
        <f t="shared" si="118"/>
        <v>39659.440476190444</v>
      </c>
      <c r="E1807" s="511">
        <f t="shared" si="119"/>
        <v>1300.3095238095239</v>
      </c>
      <c r="F1807" s="469">
        <f t="shared" si="114"/>
        <v>38359.130952380918</v>
      </c>
      <c r="G1807" s="935">
        <f t="shared" si="115"/>
        <v>7150.3864864662155</v>
      </c>
      <c r="H1807" s="938">
        <f t="shared" si="116"/>
        <v>7150.3864864662155</v>
      </c>
      <c r="I1807" s="509">
        <f t="shared" si="117"/>
        <v>0</v>
      </c>
      <c r="J1807" s="509"/>
      <c r="K1807" s="640"/>
      <c r="L1807" s="514"/>
      <c r="M1807" s="640"/>
      <c r="N1807" s="514"/>
      <c r="O1807" s="514"/>
    </row>
    <row r="1808" spans="1:15">
      <c r="C1808" s="505">
        <f>IF(D1789="","-",+C1807+1)</f>
        <v>2031</v>
      </c>
      <c r="D1808" s="469">
        <f t="shared" si="118"/>
        <v>38359.130952380918</v>
      </c>
      <c r="E1808" s="511">
        <f t="shared" si="119"/>
        <v>1300.3095238095239</v>
      </c>
      <c r="F1808" s="469">
        <f t="shared" si="114"/>
        <v>37058.821428571391</v>
      </c>
      <c r="G1808" s="935">
        <f t="shared" si="115"/>
        <v>6955.3839210443248</v>
      </c>
      <c r="H1808" s="938">
        <f t="shared" si="116"/>
        <v>6955.3839210443248</v>
      </c>
      <c r="I1808" s="509">
        <f t="shared" si="117"/>
        <v>0</v>
      </c>
      <c r="J1808" s="509"/>
      <c r="K1808" s="640"/>
      <c r="L1808" s="514"/>
      <c r="M1808" s="640"/>
      <c r="N1808" s="514"/>
      <c r="O1808" s="514"/>
    </row>
    <row r="1809" spans="3:15">
      <c r="C1809" s="505">
        <f>IF(D1789="","-",+C1808+1)</f>
        <v>2032</v>
      </c>
      <c r="D1809" s="469">
        <f t="shared" si="118"/>
        <v>37058.821428571391</v>
      </c>
      <c r="E1809" s="511">
        <f t="shared" si="119"/>
        <v>1300.3095238095239</v>
      </c>
      <c r="F1809" s="469">
        <f t="shared" si="114"/>
        <v>35758.511904761865</v>
      </c>
      <c r="G1809" s="935">
        <f t="shared" si="115"/>
        <v>6760.381355622435</v>
      </c>
      <c r="H1809" s="938">
        <f t="shared" si="116"/>
        <v>6760.381355622435</v>
      </c>
      <c r="I1809" s="509">
        <f t="shared" si="117"/>
        <v>0</v>
      </c>
      <c r="J1809" s="509"/>
      <c r="K1809" s="640"/>
      <c r="L1809" s="514"/>
      <c r="M1809" s="640"/>
      <c r="N1809" s="514"/>
      <c r="O1809" s="514"/>
    </row>
    <row r="1810" spans="3:15">
      <c r="C1810" s="505">
        <f>IF(D1789="","-",+C1809+1)</f>
        <v>2033</v>
      </c>
      <c r="D1810" s="469">
        <f t="shared" si="118"/>
        <v>35758.511904761865</v>
      </c>
      <c r="E1810" s="511">
        <f t="shared" si="119"/>
        <v>1300.3095238095239</v>
      </c>
      <c r="F1810" s="469">
        <f t="shared" si="114"/>
        <v>34458.202380952338</v>
      </c>
      <c r="G1810" s="935">
        <f t="shared" si="115"/>
        <v>6565.3787902005442</v>
      </c>
      <c r="H1810" s="938">
        <f t="shared" si="116"/>
        <v>6565.3787902005442</v>
      </c>
      <c r="I1810" s="509">
        <f t="shared" si="117"/>
        <v>0</v>
      </c>
      <c r="J1810" s="509"/>
      <c r="K1810" s="640"/>
      <c r="L1810" s="514"/>
      <c r="M1810" s="640"/>
      <c r="N1810" s="514"/>
      <c r="O1810" s="514"/>
    </row>
    <row r="1811" spans="3:15">
      <c r="C1811" s="505">
        <f>IF(D1789="","-",+C1810+1)</f>
        <v>2034</v>
      </c>
      <c r="D1811" s="469">
        <f t="shared" si="118"/>
        <v>34458.202380952338</v>
      </c>
      <c r="E1811" s="511">
        <f t="shared" si="119"/>
        <v>1300.3095238095239</v>
      </c>
      <c r="F1811" s="469">
        <f t="shared" si="114"/>
        <v>33157.892857142811</v>
      </c>
      <c r="G1811" s="935">
        <f t="shared" si="115"/>
        <v>6370.3762247786544</v>
      </c>
      <c r="H1811" s="938">
        <f t="shared" si="116"/>
        <v>6370.3762247786544</v>
      </c>
      <c r="I1811" s="509">
        <f t="shared" si="117"/>
        <v>0</v>
      </c>
      <c r="J1811" s="509"/>
      <c r="K1811" s="640"/>
      <c r="L1811" s="514"/>
      <c r="M1811" s="640"/>
      <c r="N1811" s="514"/>
      <c r="O1811" s="514"/>
    </row>
    <row r="1812" spans="3:15">
      <c r="C1812" s="505">
        <f>IF(D1789="","-",+C1811+1)</f>
        <v>2035</v>
      </c>
      <c r="D1812" s="469">
        <f t="shared" si="118"/>
        <v>33157.892857142811</v>
      </c>
      <c r="E1812" s="511">
        <f t="shared" si="119"/>
        <v>1300.3095238095239</v>
      </c>
      <c r="F1812" s="469">
        <f t="shared" si="114"/>
        <v>31857.583333333288</v>
      </c>
      <c r="G1812" s="935">
        <f t="shared" si="115"/>
        <v>6175.3736593567637</v>
      </c>
      <c r="H1812" s="938">
        <f t="shared" si="116"/>
        <v>6175.3736593567637</v>
      </c>
      <c r="I1812" s="509">
        <f t="shared" si="117"/>
        <v>0</v>
      </c>
      <c r="J1812" s="509"/>
      <c r="K1812" s="640"/>
      <c r="L1812" s="514"/>
      <c r="M1812" s="640"/>
      <c r="N1812" s="514"/>
      <c r="O1812" s="514"/>
    </row>
    <row r="1813" spans="3:15">
      <c r="C1813" s="505">
        <f>IF(D1789="","-",+C1812+1)</f>
        <v>2036</v>
      </c>
      <c r="D1813" s="469">
        <f t="shared" si="118"/>
        <v>31857.583333333288</v>
      </c>
      <c r="E1813" s="511">
        <f t="shared" si="119"/>
        <v>1300.3095238095239</v>
      </c>
      <c r="F1813" s="469">
        <f t="shared" si="114"/>
        <v>30557.273809523766</v>
      </c>
      <c r="G1813" s="935">
        <f t="shared" si="115"/>
        <v>5980.3710939348748</v>
      </c>
      <c r="H1813" s="938">
        <f t="shared" si="116"/>
        <v>5980.3710939348748</v>
      </c>
      <c r="I1813" s="509">
        <f t="shared" si="117"/>
        <v>0</v>
      </c>
      <c r="J1813" s="509"/>
      <c r="K1813" s="640"/>
      <c r="L1813" s="514"/>
      <c r="M1813" s="640"/>
      <c r="N1813" s="514"/>
      <c r="O1813" s="514"/>
    </row>
    <row r="1814" spans="3:15">
      <c r="C1814" s="505">
        <f>IF(D1789="","-",+C1813+1)</f>
        <v>2037</v>
      </c>
      <c r="D1814" s="469">
        <f t="shared" si="118"/>
        <v>30557.273809523766</v>
      </c>
      <c r="E1814" s="511">
        <f t="shared" si="119"/>
        <v>1300.3095238095239</v>
      </c>
      <c r="F1814" s="469">
        <f t="shared" si="114"/>
        <v>29256.964285714243</v>
      </c>
      <c r="G1814" s="935">
        <f t="shared" si="115"/>
        <v>5785.3685285129841</v>
      </c>
      <c r="H1814" s="938">
        <f t="shared" si="116"/>
        <v>5785.3685285129841</v>
      </c>
      <c r="I1814" s="509">
        <f t="shared" si="117"/>
        <v>0</v>
      </c>
      <c r="J1814" s="509"/>
      <c r="K1814" s="640"/>
      <c r="L1814" s="514"/>
      <c r="M1814" s="640"/>
      <c r="N1814" s="514"/>
      <c r="O1814" s="514"/>
    </row>
    <row r="1815" spans="3:15">
      <c r="C1815" s="505">
        <f>IF(D1789="","-",+C1814+1)</f>
        <v>2038</v>
      </c>
      <c r="D1815" s="469">
        <f t="shared" si="118"/>
        <v>29256.964285714243</v>
      </c>
      <c r="E1815" s="511">
        <f t="shared" si="119"/>
        <v>1300.3095238095239</v>
      </c>
      <c r="F1815" s="469">
        <f t="shared" si="114"/>
        <v>27956.65476190472</v>
      </c>
      <c r="G1815" s="935">
        <f t="shared" si="115"/>
        <v>5590.3659630910952</v>
      </c>
      <c r="H1815" s="938">
        <f t="shared" si="116"/>
        <v>5590.3659630910952</v>
      </c>
      <c r="I1815" s="509">
        <f t="shared" si="117"/>
        <v>0</v>
      </c>
      <c r="J1815" s="509"/>
      <c r="K1815" s="640"/>
      <c r="L1815" s="514"/>
      <c r="M1815" s="640"/>
      <c r="N1815" s="514"/>
      <c r="O1815" s="514"/>
    </row>
    <row r="1816" spans="3:15">
      <c r="C1816" s="505">
        <f>IF(D1789="","-",+C1815+1)</f>
        <v>2039</v>
      </c>
      <c r="D1816" s="469">
        <f t="shared" si="118"/>
        <v>27956.65476190472</v>
      </c>
      <c r="E1816" s="511">
        <f t="shared" si="119"/>
        <v>1300.3095238095239</v>
      </c>
      <c r="F1816" s="469">
        <f t="shared" si="114"/>
        <v>26656.345238095197</v>
      </c>
      <c r="G1816" s="935">
        <f t="shared" si="115"/>
        <v>5395.3633976692054</v>
      </c>
      <c r="H1816" s="938">
        <f t="shared" si="116"/>
        <v>5395.3633976692054</v>
      </c>
      <c r="I1816" s="509">
        <f t="shared" si="117"/>
        <v>0</v>
      </c>
      <c r="J1816" s="509"/>
      <c r="K1816" s="640"/>
      <c r="L1816" s="514"/>
      <c r="M1816" s="640"/>
      <c r="N1816" s="514"/>
      <c r="O1816" s="514"/>
    </row>
    <row r="1817" spans="3:15">
      <c r="C1817" s="505">
        <f>IF(D1789="","-",+C1816+1)</f>
        <v>2040</v>
      </c>
      <c r="D1817" s="469">
        <f t="shared" si="118"/>
        <v>26656.345238095197</v>
      </c>
      <c r="E1817" s="511">
        <f t="shared" si="119"/>
        <v>1300.3095238095239</v>
      </c>
      <c r="F1817" s="469">
        <f t="shared" si="114"/>
        <v>25356.035714285674</v>
      </c>
      <c r="G1817" s="935">
        <f t="shared" si="115"/>
        <v>5200.3608322473156</v>
      </c>
      <c r="H1817" s="938">
        <f t="shared" si="116"/>
        <v>5200.3608322473156</v>
      </c>
      <c r="I1817" s="509">
        <f t="shared" si="117"/>
        <v>0</v>
      </c>
      <c r="J1817" s="509"/>
      <c r="K1817" s="640"/>
      <c r="L1817" s="514"/>
      <c r="M1817" s="640"/>
      <c r="N1817" s="514"/>
      <c r="O1817" s="514"/>
    </row>
    <row r="1818" spans="3:15">
      <c r="C1818" s="505">
        <f>IF(D1789="","-",+C1817+1)</f>
        <v>2041</v>
      </c>
      <c r="D1818" s="469">
        <f t="shared" si="118"/>
        <v>25356.035714285674</v>
      </c>
      <c r="E1818" s="511">
        <f t="shared" si="119"/>
        <v>1300.3095238095239</v>
      </c>
      <c r="F1818" s="469">
        <f t="shared" si="114"/>
        <v>24055.726190476151</v>
      </c>
      <c r="G1818" s="935">
        <f t="shared" si="115"/>
        <v>5005.3582668254257</v>
      </c>
      <c r="H1818" s="938">
        <f t="shared" si="116"/>
        <v>5005.3582668254257</v>
      </c>
      <c r="I1818" s="509">
        <f t="shared" si="117"/>
        <v>0</v>
      </c>
      <c r="J1818" s="509"/>
      <c r="K1818" s="640"/>
      <c r="L1818" s="514"/>
      <c r="M1818" s="640"/>
      <c r="N1818" s="514"/>
      <c r="O1818" s="514"/>
    </row>
    <row r="1819" spans="3:15">
      <c r="C1819" s="505">
        <f>IF(D1789="","-",+C1818+1)</f>
        <v>2042</v>
      </c>
      <c r="D1819" s="469">
        <f t="shared" si="118"/>
        <v>24055.726190476151</v>
      </c>
      <c r="E1819" s="511">
        <f t="shared" si="119"/>
        <v>1300.3095238095239</v>
      </c>
      <c r="F1819" s="469">
        <f t="shared" si="114"/>
        <v>22755.416666666628</v>
      </c>
      <c r="G1819" s="935">
        <f t="shared" si="115"/>
        <v>4810.3557014035359</v>
      </c>
      <c r="H1819" s="938">
        <f t="shared" si="116"/>
        <v>4810.3557014035359</v>
      </c>
      <c r="I1819" s="509">
        <f t="shared" si="117"/>
        <v>0</v>
      </c>
      <c r="J1819" s="509"/>
      <c r="K1819" s="640"/>
      <c r="L1819" s="514"/>
      <c r="M1819" s="640"/>
      <c r="N1819" s="514"/>
      <c r="O1819" s="514"/>
    </row>
    <row r="1820" spans="3:15">
      <c r="C1820" s="505">
        <f>IF(D1789="","-",+C1819+1)</f>
        <v>2043</v>
      </c>
      <c r="D1820" s="469">
        <f t="shared" si="118"/>
        <v>22755.416666666628</v>
      </c>
      <c r="E1820" s="511">
        <f t="shared" si="119"/>
        <v>1300.3095238095239</v>
      </c>
      <c r="F1820" s="469">
        <f t="shared" si="114"/>
        <v>21455.107142857105</v>
      </c>
      <c r="G1820" s="935">
        <f t="shared" si="115"/>
        <v>4615.3531359816461</v>
      </c>
      <c r="H1820" s="938">
        <f t="shared" si="116"/>
        <v>4615.3531359816461</v>
      </c>
      <c r="I1820" s="509">
        <f t="shared" si="117"/>
        <v>0</v>
      </c>
      <c r="J1820" s="509"/>
      <c r="K1820" s="640"/>
      <c r="L1820" s="514"/>
      <c r="M1820" s="640"/>
      <c r="N1820" s="514"/>
      <c r="O1820" s="514"/>
    </row>
    <row r="1821" spans="3:15">
      <c r="C1821" s="505">
        <f>IF(D1789="","-",+C1820+1)</f>
        <v>2044</v>
      </c>
      <c r="D1821" s="469">
        <f t="shared" si="118"/>
        <v>21455.107142857105</v>
      </c>
      <c r="E1821" s="511">
        <f t="shared" si="119"/>
        <v>1300.3095238095239</v>
      </c>
      <c r="F1821" s="469">
        <f t="shared" si="114"/>
        <v>20154.797619047582</v>
      </c>
      <c r="G1821" s="935">
        <f t="shared" si="115"/>
        <v>4420.3505705597563</v>
      </c>
      <c r="H1821" s="938">
        <f t="shared" si="116"/>
        <v>4420.3505705597563</v>
      </c>
      <c r="I1821" s="509">
        <f t="shared" si="117"/>
        <v>0</v>
      </c>
      <c r="J1821" s="509"/>
      <c r="K1821" s="640"/>
      <c r="L1821" s="514"/>
      <c r="M1821" s="640"/>
      <c r="N1821" s="514"/>
      <c r="O1821" s="514"/>
    </row>
    <row r="1822" spans="3:15">
      <c r="C1822" s="505">
        <f>IF(D1789="","-",+C1821+1)</f>
        <v>2045</v>
      </c>
      <c r="D1822" s="469">
        <f t="shared" si="118"/>
        <v>20154.797619047582</v>
      </c>
      <c r="E1822" s="511">
        <f t="shared" si="119"/>
        <v>1300.3095238095239</v>
      </c>
      <c r="F1822" s="469">
        <f t="shared" si="114"/>
        <v>18854.488095238059</v>
      </c>
      <c r="G1822" s="935">
        <f t="shared" si="115"/>
        <v>4225.3480051378665</v>
      </c>
      <c r="H1822" s="938">
        <f t="shared" si="116"/>
        <v>4225.3480051378665</v>
      </c>
      <c r="I1822" s="509">
        <f t="shared" si="117"/>
        <v>0</v>
      </c>
      <c r="J1822" s="509"/>
      <c r="K1822" s="640"/>
      <c r="L1822" s="514"/>
      <c r="M1822" s="640"/>
      <c r="N1822" s="514"/>
      <c r="O1822" s="514"/>
    </row>
    <row r="1823" spans="3:15">
      <c r="C1823" s="505">
        <f>IF(D1789="","-",+C1822+1)</f>
        <v>2046</v>
      </c>
      <c r="D1823" s="469">
        <f t="shared" si="118"/>
        <v>18854.488095238059</v>
      </c>
      <c r="E1823" s="511">
        <f t="shared" si="119"/>
        <v>1300.3095238095239</v>
      </c>
      <c r="F1823" s="469">
        <f t="shared" si="114"/>
        <v>17554.178571428536</v>
      </c>
      <c r="G1823" s="936">
        <f t="shared" si="115"/>
        <v>4030.3454397159771</v>
      </c>
      <c r="H1823" s="938">
        <f t="shared" si="116"/>
        <v>4030.3454397159771</v>
      </c>
      <c r="I1823" s="509">
        <f t="shared" si="117"/>
        <v>0</v>
      </c>
      <c r="J1823" s="509"/>
      <c r="K1823" s="640"/>
      <c r="L1823" s="514"/>
      <c r="M1823" s="640"/>
      <c r="N1823" s="514"/>
      <c r="O1823" s="514"/>
    </row>
    <row r="1824" spans="3:15">
      <c r="C1824" s="505">
        <f>IF(D1789="","-",+C1823+1)</f>
        <v>2047</v>
      </c>
      <c r="D1824" s="469">
        <f t="shared" si="118"/>
        <v>17554.178571428536</v>
      </c>
      <c r="E1824" s="511">
        <f t="shared" si="119"/>
        <v>1300.3095238095239</v>
      </c>
      <c r="F1824" s="469">
        <f t="shared" si="114"/>
        <v>16253.869047619013</v>
      </c>
      <c r="G1824" s="935">
        <f t="shared" si="115"/>
        <v>3835.3428742940869</v>
      </c>
      <c r="H1824" s="938">
        <f t="shared" si="116"/>
        <v>3835.3428742940869</v>
      </c>
      <c r="I1824" s="509">
        <f t="shared" si="117"/>
        <v>0</v>
      </c>
      <c r="J1824" s="509"/>
      <c r="K1824" s="640"/>
      <c r="L1824" s="514"/>
      <c r="M1824" s="640"/>
      <c r="N1824" s="514"/>
      <c r="O1824" s="514"/>
    </row>
    <row r="1825" spans="3:15">
      <c r="C1825" s="505">
        <f>IF(D1789="","-",+C1824+1)</f>
        <v>2048</v>
      </c>
      <c r="D1825" s="469">
        <f t="shared" si="118"/>
        <v>16253.869047619013</v>
      </c>
      <c r="E1825" s="511">
        <f t="shared" si="119"/>
        <v>1300.3095238095239</v>
      </c>
      <c r="F1825" s="469">
        <f t="shared" si="114"/>
        <v>14953.55952380949</v>
      </c>
      <c r="G1825" s="935">
        <f t="shared" si="115"/>
        <v>3640.3403088721975</v>
      </c>
      <c r="H1825" s="938">
        <f t="shared" si="116"/>
        <v>3640.3403088721975</v>
      </c>
      <c r="I1825" s="509">
        <f t="shared" si="117"/>
        <v>0</v>
      </c>
      <c r="J1825" s="509"/>
      <c r="K1825" s="640"/>
      <c r="L1825" s="514"/>
      <c r="M1825" s="640"/>
      <c r="N1825" s="514"/>
      <c r="O1825" s="514"/>
    </row>
    <row r="1826" spans="3:15">
      <c r="C1826" s="505">
        <f>IF(D1789="","-",+C1825+1)</f>
        <v>2049</v>
      </c>
      <c r="D1826" s="469">
        <f t="shared" si="118"/>
        <v>14953.55952380949</v>
      </c>
      <c r="E1826" s="511">
        <f t="shared" si="119"/>
        <v>1300.3095238095239</v>
      </c>
      <c r="F1826" s="469">
        <f t="shared" si="114"/>
        <v>13653.249999999967</v>
      </c>
      <c r="G1826" s="935">
        <f t="shared" si="115"/>
        <v>3445.3377434503077</v>
      </c>
      <c r="H1826" s="938">
        <f t="shared" si="116"/>
        <v>3445.3377434503077</v>
      </c>
      <c r="I1826" s="509">
        <f t="shared" si="117"/>
        <v>0</v>
      </c>
      <c r="J1826" s="509"/>
      <c r="K1826" s="640"/>
      <c r="L1826" s="514"/>
      <c r="M1826" s="640"/>
      <c r="N1826" s="514"/>
      <c r="O1826" s="514"/>
    </row>
    <row r="1827" spans="3:15">
      <c r="C1827" s="505">
        <f>IF(D1789="","-",+C1826+1)</f>
        <v>2050</v>
      </c>
      <c r="D1827" s="469">
        <f t="shared" si="118"/>
        <v>13653.249999999967</v>
      </c>
      <c r="E1827" s="511">
        <f t="shared" si="119"/>
        <v>1300.3095238095239</v>
      </c>
      <c r="F1827" s="469">
        <f t="shared" si="114"/>
        <v>12352.940476190444</v>
      </c>
      <c r="G1827" s="935">
        <f t="shared" si="115"/>
        <v>3250.3351780284179</v>
      </c>
      <c r="H1827" s="938">
        <f t="shared" si="116"/>
        <v>3250.3351780284179</v>
      </c>
      <c r="I1827" s="509">
        <f t="shared" si="117"/>
        <v>0</v>
      </c>
      <c r="J1827" s="509"/>
      <c r="K1827" s="640"/>
      <c r="L1827" s="514"/>
      <c r="M1827" s="640"/>
      <c r="N1827" s="514"/>
      <c r="O1827" s="514"/>
    </row>
    <row r="1828" spans="3:15">
      <c r="C1828" s="505">
        <f>IF(D1789="","-",+C1827+1)</f>
        <v>2051</v>
      </c>
      <c r="D1828" s="469">
        <f t="shared" si="118"/>
        <v>12352.940476190444</v>
      </c>
      <c r="E1828" s="511">
        <f t="shared" si="119"/>
        <v>1300.3095238095239</v>
      </c>
      <c r="F1828" s="469">
        <f t="shared" si="114"/>
        <v>11052.630952380921</v>
      </c>
      <c r="G1828" s="935">
        <f t="shared" si="115"/>
        <v>3055.3326126065281</v>
      </c>
      <c r="H1828" s="938">
        <f t="shared" si="116"/>
        <v>3055.3326126065281</v>
      </c>
      <c r="I1828" s="509">
        <f t="shared" si="117"/>
        <v>0</v>
      </c>
      <c r="J1828" s="509"/>
      <c r="K1828" s="640"/>
      <c r="L1828" s="514"/>
      <c r="M1828" s="640"/>
      <c r="N1828" s="514"/>
      <c r="O1828" s="514"/>
    </row>
    <row r="1829" spans="3:15">
      <c r="C1829" s="505">
        <f>IF(D1789="","-",+C1828+1)</f>
        <v>2052</v>
      </c>
      <c r="D1829" s="469">
        <f t="shared" si="118"/>
        <v>11052.630952380921</v>
      </c>
      <c r="E1829" s="511">
        <f t="shared" si="119"/>
        <v>1300.3095238095239</v>
      </c>
      <c r="F1829" s="469">
        <f t="shared" si="114"/>
        <v>9752.3214285713984</v>
      </c>
      <c r="G1829" s="935">
        <f t="shared" si="115"/>
        <v>2860.3300471846383</v>
      </c>
      <c r="H1829" s="938">
        <f t="shared" si="116"/>
        <v>2860.3300471846383</v>
      </c>
      <c r="I1829" s="509">
        <f t="shared" si="117"/>
        <v>0</v>
      </c>
      <c r="J1829" s="509"/>
      <c r="K1829" s="640"/>
      <c r="L1829" s="514"/>
      <c r="M1829" s="640"/>
      <c r="N1829" s="514"/>
      <c r="O1829" s="514"/>
    </row>
    <row r="1830" spans="3:15">
      <c r="C1830" s="505">
        <f>IF(D1789="","-",+C1829+1)</f>
        <v>2053</v>
      </c>
      <c r="D1830" s="469">
        <f t="shared" si="118"/>
        <v>9752.3214285713984</v>
      </c>
      <c r="E1830" s="511">
        <f t="shared" si="119"/>
        <v>1300.3095238095239</v>
      </c>
      <c r="F1830" s="469">
        <f t="shared" si="114"/>
        <v>8452.0119047618755</v>
      </c>
      <c r="G1830" s="935">
        <f t="shared" si="115"/>
        <v>2665.3274817627484</v>
      </c>
      <c r="H1830" s="938">
        <f t="shared" si="116"/>
        <v>2665.3274817627484</v>
      </c>
      <c r="I1830" s="509">
        <f t="shared" si="117"/>
        <v>0</v>
      </c>
      <c r="J1830" s="509"/>
      <c r="K1830" s="640"/>
      <c r="L1830" s="514"/>
      <c r="M1830" s="640"/>
      <c r="N1830" s="514"/>
      <c r="O1830" s="514"/>
    </row>
    <row r="1831" spans="3:15">
      <c r="C1831" s="505">
        <f>IF(D1789="","-",+C1830+1)</f>
        <v>2054</v>
      </c>
      <c r="D1831" s="469">
        <f t="shared" si="118"/>
        <v>8452.0119047618755</v>
      </c>
      <c r="E1831" s="511">
        <f t="shared" si="119"/>
        <v>1300.3095238095239</v>
      </c>
      <c r="F1831" s="469">
        <f t="shared" si="114"/>
        <v>7151.7023809523516</v>
      </c>
      <c r="G1831" s="935">
        <f t="shared" si="115"/>
        <v>2470.3249163408591</v>
      </c>
      <c r="H1831" s="938">
        <f t="shared" si="116"/>
        <v>2470.3249163408591</v>
      </c>
      <c r="I1831" s="509">
        <f t="shared" si="117"/>
        <v>0</v>
      </c>
      <c r="J1831" s="509"/>
      <c r="K1831" s="640"/>
      <c r="L1831" s="514"/>
      <c r="M1831" s="640"/>
      <c r="N1831" s="514"/>
      <c r="O1831" s="514"/>
    </row>
    <row r="1832" spans="3:15">
      <c r="C1832" s="505">
        <f>IF(D1789="","-",+C1831+1)</f>
        <v>2055</v>
      </c>
      <c r="D1832" s="469">
        <f t="shared" si="118"/>
        <v>7151.7023809523516</v>
      </c>
      <c r="E1832" s="511">
        <f t="shared" si="119"/>
        <v>1300.3095238095239</v>
      </c>
      <c r="F1832" s="469">
        <f t="shared" si="114"/>
        <v>5851.3928571428278</v>
      </c>
      <c r="G1832" s="935">
        <f t="shared" si="115"/>
        <v>2275.3223509189688</v>
      </c>
      <c r="H1832" s="938">
        <f t="shared" si="116"/>
        <v>2275.3223509189688</v>
      </c>
      <c r="I1832" s="509">
        <f t="shared" si="117"/>
        <v>0</v>
      </c>
      <c r="J1832" s="509"/>
      <c r="K1832" s="640"/>
      <c r="L1832" s="514"/>
      <c r="M1832" s="640"/>
      <c r="N1832" s="514"/>
      <c r="O1832" s="514"/>
    </row>
    <row r="1833" spans="3:15">
      <c r="C1833" s="505">
        <f>IF(D1789="","-",+C1832+1)</f>
        <v>2056</v>
      </c>
      <c r="D1833" s="469">
        <f t="shared" si="118"/>
        <v>5851.3928571428278</v>
      </c>
      <c r="E1833" s="511">
        <f t="shared" si="119"/>
        <v>1300.3095238095239</v>
      </c>
      <c r="F1833" s="469">
        <f t="shared" si="114"/>
        <v>4551.0833333333039</v>
      </c>
      <c r="G1833" s="935">
        <f t="shared" si="115"/>
        <v>2080.319785497079</v>
      </c>
      <c r="H1833" s="938">
        <f t="shared" si="116"/>
        <v>2080.319785497079</v>
      </c>
      <c r="I1833" s="509">
        <f t="shared" si="117"/>
        <v>0</v>
      </c>
      <c r="J1833" s="509"/>
      <c r="K1833" s="640"/>
      <c r="L1833" s="514"/>
      <c r="M1833" s="640"/>
      <c r="N1833" s="514"/>
      <c r="O1833" s="514"/>
    </row>
    <row r="1834" spans="3:15">
      <c r="C1834" s="505">
        <f>IF(D1789="","-",+C1833+1)</f>
        <v>2057</v>
      </c>
      <c r="D1834" s="469">
        <f t="shared" si="118"/>
        <v>4551.0833333333039</v>
      </c>
      <c r="E1834" s="511">
        <f t="shared" si="119"/>
        <v>1300.3095238095239</v>
      </c>
      <c r="F1834" s="469">
        <f t="shared" si="114"/>
        <v>3250.7738095237801</v>
      </c>
      <c r="G1834" s="935">
        <f t="shared" si="115"/>
        <v>1885.3172200751892</v>
      </c>
      <c r="H1834" s="938">
        <f t="shared" si="116"/>
        <v>1885.3172200751892</v>
      </c>
      <c r="I1834" s="509">
        <f t="shared" si="117"/>
        <v>0</v>
      </c>
      <c r="J1834" s="509"/>
      <c r="K1834" s="640"/>
      <c r="L1834" s="514"/>
      <c r="M1834" s="640"/>
      <c r="N1834" s="514"/>
      <c r="O1834" s="514"/>
    </row>
    <row r="1835" spans="3:15">
      <c r="C1835" s="505">
        <f>IF(D1789="","-",+C1834+1)</f>
        <v>2058</v>
      </c>
      <c r="D1835" s="469">
        <f t="shared" si="118"/>
        <v>3250.7738095237801</v>
      </c>
      <c r="E1835" s="511">
        <f t="shared" si="119"/>
        <v>1300.3095238095239</v>
      </c>
      <c r="F1835" s="469">
        <f t="shared" si="114"/>
        <v>1950.4642857142562</v>
      </c>
      <c r="G1835" s="935">
        <f t="shared" si="115"/>
        <v>1690.3146546532992</v>
      </c>
      <c r="H1835" s="938">
        <f t="shared" si="116"/>
        <v>1690.3146546532992</v>
      </c>
      <c r="I1835" s="509">
        <f t="shared" si="117"/>
        <v>0</v>
      </c>
      <c r="J1835" s="509"/>
      <c r="K1835" s="640"/>
      <c r="L1835" s="514"/>
      <c r="M1835" s="640"/>
      <c r="N1835" s="514"/>
      <c r="O1835" s="514"/>
    </row>
    <row r="1836" spans="3:15">
      <c r="C1836" s="505">
        <f>IF(D1789="","-",+C1835+1)</f>
        <v>2059</v>
      </c>
      <c r="D1836" s="469">
        <f t="shared" si="118"/>
        <v>1950.4642857142562</v>
      </c>
      <c r="E1836" s="511">
        <f t="shared" si="119"/>
        <v>1300.3095238095239</v>
      </c>
      <c r="F1836" s="469">
        <f t="shared" si="114"/>
        <v>650.15476190473237</v>
      </c>
      <c r="G1836" s="935">
        <f t="shared" si="115"/>
        <v>1495.3120892314093</v>
      </c>
      <c r="H1836" s="938">
        <f t="shared" si="116"/>
        <v>1495.3120892314093</v>
      </c>
      <c r="I1836" s="509">
        <f t="shared" si="117"/>
        <v>0</v>
      </c>
      <c r="J1836" s="509"/>
      <c r="K1836" s="640"/>
      <c r="L1836" s="514"/>
      <c r="M1836" s="640"/>
      <c r="N1836" s="514"/>
      <c r="O1836" s="514"/>
    </row>
    <row r="1837" spans="3:15">
      <c r="C1837" s="505">
        <f>IF(D1789="","-",+C1836+1)</f>
        <v>2060</v>
      </c>
      <c r="D1837" s="469">
        <f t="shared" si="118"/>
        <v>650.15476190473237</v>
      </c>
      <c r="E1837" s="511">
        <f t="shared" si="119"/>
        <v>650.15476190473237</v>
      </c>
      <c r="F1837" s="469">
        <f t="shared" si="114"/>
        <v>0</v>
      </c>
      <c r="G1837" s="935">
        <f t="shared" si="115"/>
        <v>698.90540326020266</v>
      </c>
      <c r="H1837" s="938">
        <f t="shared" si="116"/>
        <v>698.90540326020266</v>
      </c>
      <c r="I1837" s="509">
        <f t="shared" si="117"/>
        <v>0</v>
      </c>
      <c r="J1837" s="509"/>
      <c r="K1837" s="640"/>
      <c r="L1837" s="514"/>
      <c r="M1837" s="640"/>
      <c r="N1837" s="514"/>
      <c r="O1837" s="514"/>
    </row>
    <row r="1838" spans="3:15">
      <c r="C1838" s="505">
        <f>IF(D1789="","-",+C1837+1)</f>
        <v>2061</v>
      </c>
      <c r="D1838" s="469">
        <f t="shared" si="118"/>
        <v>0</v>
      </c>
      <c r="E1838" s="511">
        <f t="shared" si="119"/>
        <v>0</v>
      </c>
      <c r="F1838" s="469">
        <f t="shared" si="114"/>
        <v>0</v>
      </c>
      <c r="G1838" s="935">
        <f t="shared" si="115"/>
        <v>0</v>
      </c>
      <c r="H1838" s="938">
        <f t="shared" si="116"/>
        <v>0</v>
      </c>
      <c r="I1838" s="509">
        <f t="shared" si="117"/>
        <v>0</v>
      </c>
      <c r="J1838" s="509"/>
      <c r="K1838" s="640"/>
      <c r="L1838" s="514"/>
      <c r="M1838" s="640"/>
      <c r="N1838" s="514"/>
      <c r="O1838" s="514"/>
    </row>
    <row r="1839" spans="3:15">
      <c r="C1839" s="505">
        <f>IF(D1789="","-",+C1838+1)</f>
        <v>2062</v>
      </c>
      <c r="D1839" s="469">
        <f t="shared" si="118"/>
        <v>0</v>
      </c>
      <c r="E1839" s="511">
        <f t="shared" si="119"/>
        <v>0</v>
      </c>
      <c r="F1839" s="469">
        <f t="shared" si="114"/>
        <v>0</v>
      </c>
      <c r="G1839" s="935">
        <f t="shared" si="115"/>
        <v>0</v>
      </c>
      <c r="H1839" s="938">
        <f t="shared" si="116"/>
        <v>0</v>
      </c>
      <c r="I1839" s="509">
        <f t="shared" si="117"/>
        <v>0</v>
      </c>
      <c r="J1839" s="509"/>
      <c r="K1839" s="640"/>
      <c r="L1839" s="514"/>
      <c r="M1839" s="640"/>
      <c r="N1839" s="514"/>
      <c r="O1839" s="514"/>
    </row>
    <row r="1840" spans="3:15">
      <c r="C1840" s="505">
        <f>IF(D1789="","-",+C1839+1)</f>
        <v>2063</v>
      </c>
      <c r="D1840" s="469">
        <f t="shared" si="118"/>
        <v>0</v>
      </c>
      <c r="E1840" s="511">
        <f t="shared" si="119"/>
        <v>0</v>
      </c>
      <c r="F1840" s="469">
        <f t="shared" si="114"/>
        <v>0</v>
      </c>
      <c r="G1840" s="935">
        <f t="shared" si="115"/>
        <v>0</v>
      </c>
      <c r="H1840" s="938">
        <f t="shared" si="116"/>
        <v>0</v>
      </c>
      <c r="I1840" s="509">
        <f t="shared" si="117"/>
        <v>0</v>
      </c>
      <c r="J1840" s="509"/>
      <c r="K1840" s="640"/>
      <c r="L1840" s="514"/>
      <c r="M1840" s="640"/>
      <c r="N1840" s="514"/>
      <c r="O1840" s="514"/>
    </row>
    <row r="1841" spans="3:15">
      <c r="C1841" s="505">
        <f>IF(D1789="","-",+C1840+1)</f>
        <v>2064</v>
      </c>
      <c r="D1841" s="469">
        <f t="shared" si="118"/>
        <v>0</v>
      </c>
      <c r="E1841" s="511">
        <f t="shared" si="119"/>
        <v>0</v>
      </c>
      <c r="F1841" s="469">
        <f t="shared" si="114"/>
        <v>0</v>
      </c>
      <c r="G1841" s="935">
        <f t="shared" si="115"/>
        <v>0</v>
      </c>
      <c r="H1841" s="938">
        <f t="shared" si="116"/>
        <v>0</v>
      </c>
      <c r="I1841" s="509">
        <f t="shared" si="117"/>
        <v>0</v>
      </c>
      <c r="J1841" s="509"/>
      <c r="K1841" s="640"/>
      <c r="L1841" s="514"/>
      <c r="M1841" s="640"/>
      <c r="N1841" s="514"/>
      <c r="O1841" s="514"/>
    </row>
    <row r="1842" spans="3:15">
      <c r="C1842" s="505">
        <f>IF(D1789="","-",+C1841+1)</f>
        <v>2065</v>
      </c>
      <c r="D1842" s="469">
        <f t="shared" si="118"/>
        <v>0</v>
      </c>
      <c r="E1842" s="511">
        <f t="shared" si="119"/>
        <v>0</v>
      </c>
      <c r="F1842" s="469">
        <f t="shared" si="114"/>
        <v>0</v>
      </c>
      <c r="G1842" s="935">
        <f t="shared" si="115"/>
        <v>0</v>
      </c>
      <c r="H1842" s="938">
        <f t="shared" si="116"/>
        <v>0</v>
      </c>
      <c r="I1842" s="509">
        <f t="shared" si="117"/>
        <v>0</v>
      </c>
      <c r="J1842" s="509"/>
      <c r="K1842" s="640"/>
      <c r="L1842" s="514"/>
      <c r="M1842" s="640"/>
      <c r="N1842" s="514"/>
      <c r="O1842" s="514"/>
    </row>
    <row r="1843" spans="3:15">
      <c r="C1843" s="505">
        <f>IF(D1789="","-",+C1842+1)</f>
        <v>2066</v>
      </c>
      <c r="D1843" s="469">
        <f t="shared" si="118"/>
        <v>0</v>
      </c>
      <c r="E1843" s="511">
        <f t="shared" si="119"/>
        <v>0</v>
      </c>
      <c r="F1843" s="469">
        <f t="shared" si="114"/>
        <v>0</v>
      </c>
      <c r="G1843" s="935">
        <f t="shared" si="115"/>
        <v>0</v>
      </c>
      <c r="H1843" s="938">
        <f t="shared" si="116"/>
        <v>0</v>
      </c>
      <c r="I1843" s="509">
        <f t="shared" si="117"/>
        <v>0</v>
      </c>
      <c r="J1843" s="509"/>
      <c r="K1843" s="640"/>
      <c r="L1843" s="514"/>
      <c r="M1843" s="640"/>
      <c r="N1843" s="514"/>
      <c r="O1843" s="514"/>
    </row>
    <row r="1844" spans="3:15">
      <c r="C1844" s="505">
        <f>IF(D1789="","-",+C1843+1)</f>
        <v>2067</v>
      </c>
      <c r="D1844" s="469">
        <f t="shared" si="118"/>
        <v>0</v>
      </c>
      <c r="E1844" s="511">
        <f t="shared" si="119"/>
        <v>0</v>
      </c>
      <c r="F1844" s="469">
        <f t="shared" si="114"/>
        <v>0</v>
      </c>
      <c r="G1844" s="935">
        <f t="shared" si="115"/>
        <v>0</v>
      </c>
      <c r="H1844" s="938">
        <f t="shared" si="116"/>
        <v>0</v>
      </c>
      <c r="I1844" s="509">
        <f t="shared" si="117"/>
        <v>0</v>
      </c>
      <c r="J1844" s="509"/>
      <c r="K1844" s="640"/>
      <c r="L1844" s="514"/>
      <c r="M1844" s="640"/>
      <c r="N1844" s="514"/>
      <c r="O1844" s="514"/>
    </row>
    <row r="1845" spans="3:15">
      <c r="C1845" s="505">
        <f>IF(D1789="","-",+C1844+1)</f>
        <v>2068</v>
      </c>
      <c r="D1845" s="469">
        <f t="shared" si="118"/>
        <v>0</v>
      </c>
      <c r="E1845" s="511">
        <f t="shared" si="119"/>
        <v>0</v>
      </c>
      <c r="F1845" s="469">
        <f t="shared" si="114"/>
        <v>0</v>
      </c>
      <c r="G1845" s="935">
        <f t="shared" si="115"/>
        <v>0</v>
      </c>
      <c r="H1845" s="938">
        <f t="shared" si="116"/>
        <v>0</v>
      </c>
      <c r="I1845" s="509">
        <f t="shared" si="117"/>
        <v>0</v>
      </c>
      <c r="J1845" s="509"/>
      <c r="K1845" s="640"/>
      <c r="L1845" s="514"/>
      <c r="M1845" s="640"/>
      <c r="N1845" s="514"/>
      <c r="O1845" s="514"/>
    </row>
    <row r="1846" spans="3:15">
      <c r="C1846" s="505">
        <f>IF(D1789="","-",+C1845+1)</f>
        <v>2069</v>
      </c>
      <c r="D1846" s="469">
        <f t="shared" si="118"/>
        <v>0</v>
      </c>
      <c r="E1846" s="511">
        <f t="shared" si="119"/>
        <v>0</v>
      </c>
      <c r="F1846" s="469">
        <f t="shared" si="114"/>
        <v>0</v>
      </c>
      <c r="G1846" s="935">
        <f t="shared" si="115"/>
        <v>0</v>
      </c>
      <c r="H1846" s="938">
        <f t="shared" si="116"/>
        <v>0</v>
      </c>
      <c r="I1846" s="509">
        <f t="shared" si="117"/>
        <v>0</v>
      </c>
      <c r="J1846" s="509"/>
      <c r="K1846" s="640"/>
      <c r="L1846" s="514"/>
      <c r="M1846" s="640"/>
      <c r="N1846" s="514"/>
      <c r="O1846" s="514"/>
    </row>
    <row r="1847" spans="3:15">
      <c r="C1847" s="505">
        <f>IF(D1789="","-",+C1846+1)</f>
        <v>2070</v>
      </c>
      <c r="D1847" s="469">
        <f t="shared" si="118"/>
        <v>0</v>
      </c>
      <c r="E1847" s="511">
        <f t="shared" si="119"/>
        <v>0</v>
      </c>
      <c r="F1847" s="469">
        <f t="shared" si="114"/>
        <v>0</v>
      </c>
      <c r="G1847" s="935">
        <f t="shared" si="115"/>
        <v>0</v>
      </c>
      <c r="H1847" s="938">
        <f t="shared" si="116"/>
        <v>0</v>
      </c>
      <c r="I1847" s="509">
        <f t="shared" si="117"/>
        <v>0</v>
      </c>
      <c r="J1847" s="509"/>
      <c r="K1847" s="640"/>
      <c r="L1847" s="514"/>
      <c r="M1847" s="640"/>
      <c r="N1847" s="514"/>
      <c r="O1847" s="514"/>
    </row>
    <row r="1848" spans="3:15">
      <c r="C1848" s="505">
        <f>IF(D1789="","-",+C1847+1)</f>
        <v>2071</v>
      </c>
      <c r="D1848" s="469">
        <f t="shared" si="118"/>
        <v>0</v>
      </c>
      <c r="E1848" s="511">
        <f t="shared" si="119"/>
        <v>0</v>
      </c>
      <c r="F1848" s="469">
        <f t="shared" si="114"/>
        <v>0</v>
      </c>
      <c r="G1848" s="935">
        <f t="shared" si="115"/>
        <v>0</v>
      </c>
      <c r="H1848" s="938">
        <f t="shared" si="116"/>
        <v>0</v>
      </c>
      <c r="I1848" s="509">
        <f t="shared" si="117"/>
        <v>0</v>
      </c>
      <c r="J1848" s="509"/>
      <c r="K1848" s="640"/>
      <c r="L1848" s="514"/>
      <c r="M1848" s="640"/>
      <c r="N1848" s="514"/>
      <c r="O1848" s="514"/>
    </row>
    <row r="1849" spans="3:15">
      <c r="C1849" s="505">
        <f>IF(D1789="","-",+C1848+1)</f>
        <v>2072</v>
      </c>
      <c r="D1849" s="469">
        <f t="shared" si="118"/>
        <v>0</v>
      </c>
      <c r="E1849" s="511">
        <f t="shared" si="119"/>
        <v>0</v>
      </c>
      <c r="F1849" s="469">
        <f t="shared" si="114"/>
        <v>0</v>
      </c>
      <c r="G1849" s="935">
        <f t="shared" si="115"/>
        <v>0</v>
      </c>
      <c r="H1849" s="938">
        <f t="shared" si="116"/>
        <v>0</v>
      </c>
      <c r="I1849" s="509">
        <f t="shared" si="117"/>
        <v>0</v>
      </c>
      <c r="J1849" s="509"/>
      <c r="K1849" s="640"/>
      <c r="L1849" s="514"/>
      <c r="M1849" s="640"/>
      <c r="N1849" s="514"/>
      <c r="O1849" s="514"/>
    </row>
    <row r="1850" spans="3:15">
      <c r="C1850" s="505">
        <f>IF(D1789="","-",+C1849+1)</f>
        <v>2073</v>
      </c>
      <c r="D1850" s="469">
        <f t="shared" si="118"/>
        <v>0</v>
      </c>
      <c r="E1850" s="511">
        <f t="shared" si="119"/>
        <v>0</v>
      </c>
      <c r="F1850" s="469">
        <f t="shared" si="114"/>
        <v>0</v>
      </c>
      <c r="G1850" s="935">
        <f t="shared" si="115"/>
        <v>0</v>
      </c>
      <c r="H1850" s="938">
        <f t="shared" si="116"/>
        <v>0</v>
      </c>
      <c r="I1850" s="509">
        <f t="shared" si="117"/>
        <v>0</v>
      </c>
      <c r="J1850" s="509"/>
      <c r="K1850" s="640"/>
      <c r="L1850" s="514"/>
      <c r="M1850" s="640"/>
      <c r="N1850" s="514"/>
      <c r="O1850" s="514"/>
    </row>
    <row r="1851" spans="3:15">
      <c r="C1851" s="505">
        <f>IF(D1789="","-",+C1850+1)</f>
        <v>2074</v>
      </c>
      <c r="D1851" s="469">
        <f t="shared" si="118"/>
        <v>0</v>
      </c>
      <c r="E1851" s="511">
        <f t="shared" si="119"/>
        <v>0</v>
      </c>
      <c r="F1851" s="469">
        <f t="shared" si="114"/>
        <v>0</v>
      </c>
      <c r="G1851" s="935">
        <f t="shared" si="115"/>
        <v>0</v>
      </c>
      <c r="H1851" s="938">
        <f t="shared" si="116"/>
        <v>0</v>
      </c>
      <c r="I1851" s="509">
        <f t="shared" si="117"/>
        <v>0</v>
      </c>
      <c r="J1851" s="509"/>
      <c r="K1851" s="640"/>
      <c r="L1851" s="514"/>
      <c r="M1851" s="640"/>
      <c r="N1851" s="514"/>
      <c r="O1851" s="514"/>
    </row>
    <row r="1852" spans="3:15">
      <c r="C1852" s="505">
        <f>IF(D1789="","-",+C1851+1)</f>
        <v>2075</v>
      </c>
      <c r="D1852" s="469">
        <f t="shared" si="118"/>
        <v>0</v>
      </c>
      <c r="E1852" s="511">
        <f t="shared" si="119"/>
        <v>0</v>
      </c>
      <c r="F1852" s="469">
        <f t="shared" si="114"/>
        <v>0</v>
      </c>
      <c r="G1852" s="935">
        <f t="shared" si="115"/>
        <v>0</v>
      </c>
      <c r="H1852" s="938">
        <f t="shared" si="116"/>
        <v>0</v>
      </c>
      <c r="I1852" s="509">
        <f t="shared" si="117"/>
        <v>0</v>
      </c>
      <c r="J1852" s="509"/>
      <c r="K1852" s="640"/>
      <c r="L1852" s="514"/>
      <c r="M1852" s="640"/>
      <c r="N1852" s="514"/>
      <c r="O1852" s="514"/>
    </row>
    <row r="1853" spans="3:15">
      <c r="C1853" s="505">
        <f>IF(D1789="","-",+C1852+1)</f>
        <v>2076</v>
      </c>
      <c r="D1853" s="469">
        <f t="shared" si="118"/>
        <v>0</v>
      </c>
      <c r="E1853" s="511">
        <f t="shared" si="119"/>
        <v>0</v>
      </c>
      <c r="F1853" s="469">
        <f t="shared" si="114"/>
        <v>0</v>
      </c>
      <c r="G1853" s="935">
        <f t="shared" si="115"/>
        <v>0</v>
      </c>
      <c r="H1853" s="938">
        <f t="shared" si="116"/>
        <v>0</v>
      </c>
      <c r="I1853" s="509">
        <f t="shared" si="117"/>
        <v>0</v>
      </c>
      <c r="J1853" s="509"/>
      <c r="K1853" s="640"/>
      <c r="L1853" s="514"/>
      <c r="M1853" s="640"/>
      <c r="N1853" s="514"/>
      <c r="O1853" s="514"/>
    </row>
    <row r="1854" spans="3:15" ht="13.5" thickBot="1">
      <c r="C1854" s="515">
        <f>IF(D1789="","-",+C1853+1)</f>
        <v>2077</v>
      </c>
      <c r="D1854" s="516">
        <f t="shared" si="118"/>
        <v>0</v>
      </c>
      <c r="E1854" s="517">
        <f t="shared" si="119"/>
        <v>0</v>
      </c>
      <c r="F1854" s="516">
        <f t="shared" si="114"/>
        <v>0</v>
      </c>
      <c r="G1854" s="946">
        <f t="shared" si="115"/>
        <v>0</v>
      </c>
      <c r="H1854" s="946">
        <f t="shared" si="116"/>
        <v>0</v>
      </c>
      <c r="I1854" s="519">
        <f t="shared" si="117"/>
        <v>0</v>
      </c>
      <c r="J1854" s="509"/>
      <c r="K1854" s="641"/>
      <c r="L1854" s="521"/>
      <c r="M1854" s="641"/>
      <c r="N1854" s="521"/>
      <c r="O1854" s="521"/>
    </row>
    <row r="1855" spans="3:15">
      <c r="C1855" s="469" t="s">
        <v>288</v>
      </c>
      <c r="D1855" s="915"/>
      <c r="E1855" s="469"/>
      <c r="F1855" s="915"/>
      <c r="G1855" s="915">
        <f>SUM(G1795:G1854)</f>
        <v>230700.31657596634</v>
      </c>
      <c r="H1855" s="915">
        <f>SUM(H1795:H1854)</f>
        <v>230700.31657596634</v>
      </c>
      <c r="I1855" s="915">
        <f>SUM(I1795:I1854)</f>
        <v>0</v>
      </c>
      <c r="J1855" s="915"/>
      <c r="K1855" s="915"/>
      <c r="L1855" s="915"/>
      <c r="M1855" s="915"/>
      <c r="N1855" s="915"/>
      <c r="O1855" s="4"/>
    </row>
    <row r="1856" spans="3:15">
      <c r="D1856" s="79"/>
      <c r="E1856" s="4"/>
      <c r="F1856" s="4"/>
      <c r="G1856" s="4"/>
      <c r="H1856" s="914"/>
      <c r="I1856" s="914"/>
      <c r="J1856" s="915"/>
      <c r="K1856" s="914"/>
      <c r="L1856" s="914"/>
      <c r="M1856" s="914"/>
      <c r="N1856" s="914"/>
      <c r="O1856" s="4"/>
    </row>
    <row r="1857" spans="1:16">
      <c r="C1857" s="4" t="s">
        <v>595</v>
      </c>
      <c r="D1857" s="79"/>
      <c r="E1857" s="4"/>
      <c r="F1857" s="4"/>
      <c r="G1857" s="4"/>
      <c r="H1857" s="914"/>
      <c r="I1857" s="914"/>
      <c r="J1857" s="915"/>
      <c r="K1857" s="914"/>
      <c r="L1857" s="914"/>
      <c r="M1857" s="914"/>
      <c r="N1857" s="914"/>
      <c r="O1857" s="4"/>
    </row>
    <row r="1858" spans="1:16">
      <c r="C1858" s="4"/>
      <c r="D1858" s="79"/>
      <c r="E1858" s="4"/>
      <c r="F1858" s="4"/>
      <c r="G1858" s="4"/>
      <c r="H1858" s="914"/>
      <c r="I1858" s="914"/>
      <c r="J1858" s="915"/>
      <c r="K1858" s="914"/>
      <c r="L1858" s="914"/>
      <c r="M1858" s="914"/>
      <c r="N1858" s="914"/>
      <c r="O1858" s="4"/>
    </row>
    <row r="1859" spans="1:16">
      <c r="C1859" s="479" t="s">
        <v>924</v>
      </c>
      <c r="D1859" s="469"/>
      <c r="E1859" s="469"/>
      <c r="F1859" s="469"/>
      <c r="G1859" s="915"/>
      <c r="H1859" s="915"/>
      <c r="I1859" s="471"/>
      <c r="J1859" s="471"/>
      <c r="K1859" s="471"/>
      <c r="L1859" s="471"/>
      <c r="M1859" s="471"/>
      <c r="N1859" s="471"/>
      <c r="O1859" s="4"/>
    </row>
    <row r="1860" spans="1:16">
      <c r="C1860" s="479" t="s">
        <v>476</v>
      </c>
      <c r="D1860" s="469"/>
      <c r="E1860" s="469"/>
      <c r="F1860" s="469"/>
      <c r="G1860" s="915"/>
      <c r="H1860" s="915"/>
      <c r="I1860" s="471"/>
      <c r="J1860" s="471"/>
      <c r="K1860" s="471"/>
      <c r="L1860" s="471"/>
      <c r="M1860" s="471"/>
      <c r="N1860" s="471"/>
      <c r="O1860" s="4"/>
    </row>
    <row r="1861" spans="1:16">
      <c r="C1861" s="470" t="s">
        <v>289</v>
      </c>
      <c r="D1861" s="469"/>
      <c r="E1861" s="469"/>
      <c r="F1861" s="469"/>
      <c r="G1861" s="915"/>
      <c r="H1861" s="915"/>
      <c r="I1861" s="471"/>
      <c r="J1861" s="471"/>
      <c r="K1861" s="471"/>
      <c r="L1861" s="471"/>
      <c r="M1861" s="471"/>
      <c r="N1861" s="471"/>
      <c r="O1861" s="4"/>
    </row>
    <row r="1862" spans="1:16">
      <c r="C1862" s="470"/>
      <c r="D1862" s="469"/>
      <c r="E1862" s="469"/>
      <c r="F1862" s="469"/>
      <c r="G1862" s="915"/>
      <c r="H1862" s="915"/>
      <c r="I1862" s="471"/>
      <c r="J1862" s="471"/>
      <c r="K1862" s="471"/>
      <c r="L1862" s="471"/>
      <c r="M1862" s="471"/>
      <c r="N1862" s="471"/>
      <c r="O1862" s="4"/>
    </row>
    <row r="1863" spans="1:16">
      <c r="C1863" s="1275" t="s">
        <v>460</v>
      </c>
      <c r="D1863" s="1275"/>
      <c r="E1863" s="1275"/>
      <c r="F1863" s="1275"/>
      <c r="G1863" s="1275"/>
      <c r="H1863" s="1275"/>
      <c r="I1863" s="1275"/>
      <c r="J1863" s="1275"/>
      <c r="K1863" s="1275"/>
      <c r="L1863" s="1275"/>
      <c r="M1863" s="1275"/>
      <c r="N1863" s="1275"/>
      <c r="O1863" s="1275"/>
    </row>
    <row r="1864" spans="1:16">
      <c r="C1864" s="1275"/>
      <c r="D1864" s="1275"/>
      <c r="E1864" s="1275"/>
      <c r="F1864" s="1275"/>
      <c r="G1864" s="1275"/>
      <c r="H1864" s="1275"/>
      <c r="I1864" s="1275"/>
      <c r="J1864" s="1275"/>
      <c r="K1864" s="1275"/>
      <c r="L1864" s="1275"/>
      <c r="M1864" s="1275"/>
      <c r="N1864" s="1275"/>
      <c r="O1864" s="1275"/>
    </row>
    <row r="1865" spans="1:16" ht="20.25">
      <c r="A1865" s="411" t="s">
        <v>921</v>
      </c>
      <c r="B1865" s="4"/>
      <c r="C1865" s="4"/>
      <c r="D1865" s="79"/>
      <c r="E1865" s="4"/>
      <c r="F1865" s="81"/>
      <c r="G1865" s="4"/>
      <c r="H1865" s="914"/>
      <c r="K1865" s="11"/>
      <c r="L1865" s="11"/>
      <c r="M1865" s="11"/>
      <c r="N1865" s="11" t="str">
        <f>"Page "&amp;SUM(P$6:P1865)&amp;" of "</f>
        <v xml:space="preserve">Page 21 of </v>
      </c>
      <c r="O1865" s="412">
        <f>COUNT(P$6:P$59579)</f>
        <v>22</v>
      </c>
      <c r="P1865" s="4">
        <v>1</v>
      </c>
    </row>
    <row r="1866" spans="1:16">
      <c r="B1866" s="4"/>
      <c r="C1866" s="4"/>
      <c r="D1866" s="79"/>
      <c r="E1866" s="4"/>
      <c r="F1866" s="4"/>
      <c r="G1866" s="4"/>
      <c r="H1866" s="914"/>
      <c r="I1866" s="4"/>
      <c r="J1866" s="4"/>
      <c r="K1866" s="4"/>
      <c r="L1866" s="4"/>
      <c r="M1866" s="4"/>
      <c r="N1866" s="4"/>
      <c r="O1866" s="4"/>
    </row>
    <row r="1867" spans="1:16" ht="18">
      <c r="B1867" s="413" t="s">
        <v>174</v>
      </c>
      <c r="C1867" s="472" t="s">
        <v>290</v>
      </c>
      <c r="D1867" s="79"/>
      <c r="E1867" s="4"/>
      <c r="F1867" s="4"/>
      <c r="G1867" s="4"/>
      <c r="H1867" s="914"/>
      <c r="I1867" s="914"/>
      <c r="J1867" s="915"/>
      <c r="K1867" s="914"/>
      <c r="L1867" s="914"/>
      <c r="M1867" s="914"/>
      <c r="N1867" s="914"/>
      <c r="O1867" s="4"/>
    </row>
    <row r="1868" spans="1:16" ht="18.75">
      <c r="B1868" s="413"/>
      <c r="C1868" s="13"/>
      <c r="D1868" s="79"/>
      <c r="E1868" s="4"/>
      <c r="F1868" s="4"/>
      <c r="G1868" s="4"/>
      <c r="H1868" s="914"/>
      <c r="I1868" s="914"/>
      <c r="J1868" s="915"/>
      <c r="K1868" s="914"/>
      <c r="L1868" s="914"/>
      <c r="M1868" s="914"/>
      <c r="N1868" s="914"/>
      <c r="O1868" s="4"/>
    </row>
    <row r="1869" spans="1:16" ht="18.75">
      <c r="B1869" s="413"/>
      <c r="C1869" s="13" t="s">
        <v>291</v>
      </c>
      <c r="D1869" s="79"/>
      <c r="E1869" s="4"/>
      <c r="F1869" s="4"/>
      <c r="G1869" s="4"/>
      <c r="H1869" s="914"/>
      <c r="I1869" s="914"/>
      <c r="J1869" s="915"/>
      <c r="K1869" s="914"/>
      <c r="L1869" s="914"/>
      <c r="M1869" s="914"/>
      <c r="N1869" s="914"/>
      <c r="O1869" s="4"/>
    </row>
    <row r="1870" spans="1:16" ht="15.75" thickBot="1">
      <c r="C1870" s="247"/>
      <c r="D1870" s="79"/>
      <c r="E1870" s="4"/>
      <c r="F1870" s="4"/>
      <c r="G1870" s="4"/>
      <c r="H1870" s="914"/>
      <c r="I1870" s="914"/>
      <c r="J1870" s="915"/>
      <c r="K1870" s="914"/>
      <c r="L1870" s="914"/>
      <c r="M1870" s="914"/>
      <c r="N1870" s="914"/>
      <c r="O1870" s="4"/>
    </row>
    <row r="1871" spans="1:16" ht="15.75">
      <c r="C1871" s="414" t="s">
        <v>292</v>
      </c>
      <c r="D1871" s="79"/>
      <c r="E1871" s="4"/>
      <c r="F1871" s="4"/>
      <c r="G1871" s="948"/>
      <c r="H1871" s="4" t="s">
        <v>271</v>
      </c>
      <c r="I1871" s="4"/>
      <c r="J1871" s="4"/>
      <c r="K1871" s="473" t="s">
        <v>296</v>
      </c>
      <c r="L1871" s="474"/>
      <c r="M1871" s="475"/>
      <c r="N1871" s="917">
        <f>VLOOKUP(I1877,C1884:O1943,5)</f>
        <v>40328.058232067619</v>
      </c>
      <c r="O1871" s="4"/>
    </row>
    <row r="1872" spans="1:16" ht="15.75">
      <c r="C1872" s="414"/>
      <c r="D1872" s="79"/>
      <c r="E1872" s="4"/>
      <c r="F1872" s="4"/>
      <c r="G1872" s="4"/>
      <c r="H1872" s="918"/>
      <c r="I1872" s="918"/>
      <c r="J1872" s="919"/>
      <c r="K1872" s="478" t="s">
        <v>297</v>
      </c>
      <c r="L1872" s="920"/>
      <c r="M1872" s="4"/>
      <c r="N1872" s="921">
        <f>VLOOKUP(I1877,C1884:O1943,6)</f>
        <v>40328.058232067619</v>
      </c>
      <c r="O1872" s="4"/>
    </row>
    <row r="1873" spans="1:15" ht="15.75" thickBot="1">
      <c r="C1873" s="479" t="s">
        <v>293</v>
      </c>
      <c r="D1873" s="1276" t="s">
        <v>944</v>
      </c>
      <c r="E1873" s="1276"/>
      <c r="F1873" s="1276"/>
      <c r="G1873" s="1276"/>
      <c r="H1873" s="918"/>
      <c r="I1873" s="918"/>
      <c r="J1873" s="915"/>
      <c r="K1873" s="922" t="s">
        <v>450</v>
      </c>
      <c r="L1873" s="923"/>
      <c r="M1873" s="923"/>
      <c r="N1873" s="924">
        <f>+N1872-N1871</f>
        <v>0</v>
      </c>
      <c r="O1873" s="4"/>
    </row>
    <row r="1874" spans="1:15">
      <c r="C1874" s="481"/>
      <c r="D1874" s="482"/>
      <c r="E1874" s="469"/>
      <c r="F1874" s="469"/>
      <c r="G1874" s="483"/>
      <c r="H1874" s="914"/>
      <c r="I1874" s="914"/>
      <c r="J1874" s="915"/>
      <c r="K1874" s="914"/>
      <c r="L1874" s="914"/>
      <c r="M1874" s="914"/>
      <c r="N1874" s="914"/>
      <c r="O1874" s="4"/>
    </row>
    <row r="1875" spans="1:15" ht="13.5" thickBot="1">
      <c r="C1875" s="481"/>
      <c r="D1875" s="925"/>
      <c r="E1875" s="483"/>
      <c r="F1875" s="483"/>
      <c r="G1875" s="483"/>
      <c r="H1875" s="483"/>
      <c r="I1875" s="483"/>
      <c r="J1875" s="483"/>
      <c r="K1875" s="483"/>
      <c r="L1875" s="483"/>
      <c r="M1875" s="483"/>
      <c r="N1875" s="483"/>
      <c r="O1875" s="4"/>
    </row>
    <row r="1876" spans="1:15" ht="13.5" thickBot="1">
      <c r="C1876" s="484" t="s">
        <v>294</v>
      </c>
      <c r="D1876" s="485"/>
      <c r="E1876" s="485"/>
      <c r="F1876" s="485"/>
      <c r="G1876" s="485"/>
      <c r="H1876" s="485"/>
      <c r="I1876" s="486"/>
      <c r="K1876" s="4"/>
      <c r="L1876" s="4"/>
      <c r="M1876" s="4"/>
      <c r="N1876" s="4"/>
      <c r="O1876" s="4"/>
    </row>
    <row r="1877" spans="1:15" ht="15">
      <c r="C1877" s="487" t="s">
        <v>272</v>
      </c>
      <c r="D1877" s="926">
        <v>242015</v>
      </c>
      <c r="E1877" s="4" t="s">
        <v>273</v>
      </c>
      <c r="G1877" s="79"/>
      <c r="H1877" s="79"/>
      <c r="I1877" s="488">
        <v>2018</v>
      </c>
      <c r="J1877" s="135"/>
      <c r="K1877" s="1277" t="s">
        <v>459</v>
      </c>
      <c r="L1877" s="1277"/>
      <c r="M1877" s="1277"/>
      <c r="N1877" s="1277"/>
      <c r="O1877" s="1277"/>
    </row>
    <row r="1878" spans="1:15">
      <c r="C1878" s="487" t="s">
        <v>275</v>
      </c>
      <c r="D1878" s="636">
        <v>2016</v>
      </c>
      <c r="E1878" s="487" t="s">
        <v>276</v>
      </c>
      <c r="F1878" s="79"/>
      <c r="H1878"/>
      <c r="I1878" s="927">
        <f>IF(G1871="",0,$F$15)</f>
        <v>0</v>
      </c>
      <c r="J1878" s="489"/>
      <c r="K1878" s="915" t="s">
        <v>459</v>
      </c>
    </row>
    <row r="1879" spans="1:15">
      <c r="C1879" s="487" t="s">
        <v>277</v>
      </c>
      <c r="D1879" s="926">
        <v>6</v>
      </c>
      <c r="E1879" s="487" t="s">
        <v>278</v>
      </c>
      <c r="F1879" s="79"/>
      <c r="H1879"/>
      <c r="I1879" s="490">
        <f>$G$70</f>
        <v>0.14996626714737105</v>
      </c>
      <c r="J1879" s="81"/>
      <c r="K1879" t="str">
        <f>"          INPUT PROJECTED ARR (WITH &amp; WITHOUT INCENTIVES) FROM EACH PRIOR YEAR"</f>
        <v xml:space="preserve">          INPUT PROJECTED ARR (WITH &amp; WITHOUT INCENTIVES) FROM EACH PRIOR YEAR</v>
      </c>
    </row>
    <row r="1880" spans="1:15">
      <c r="C1880" s="487" t="s">
        <v>279</v>
      </c>
      <c r="D1880" s="491">
        <f>G$79</f>
        <v>42</v>
      </c>
      <c r="E1880" s="487" t="s">
        <v>280</v>
      </c>
      <c r="F1880" s="79"/>
      <c r="H1880"/>
      <c r="I1880" s="490">
        <f>IF(G1871="",I1879,$G$67)</f>
        <v>0.14996626714737105</v>
      </c>
      <c r="J1880" s="81"/>
      <c r="K1880" t="s">
        <v>357</v>
      </c>
    </row>
    <row r="1881" spans="1:15" ht="13.5" thickBot="1">
      <c r="C1881" s="487" t="s">
        <v>281</v>
      </c>
      <c r="D1881" s="637" t="s">
        <v>923</v>
      </c>
      <c r="E1881" s="492" t="s">
        <v>282</v>
      </c>
      <c r="F1881" s="493"/>
      <c r="G1881" s="494"/>
      <c r="H1881" s="494"/>
      <c r="I1881" s="924">
        <f>IF(D1877=0,0,D1877/D1880)</f>
        <v>5762.2619047619046</v>
      </c>
      <c r="J1881" s="915"/>
      <c r="K1881" s="915" t="s">
        <v>363</v>
      </c>
      <c r="L1881" s="915"/>
      <c r="M1881" s="915"/>
      <c r="N1881" s="915"/>
      <c r="O1881" s="4"/>
    </row>
    <row r="1882" spans="1:15" ht="51">
      <c r="A1882" s="12"/>
      <c r="B1882" s="12"/>
      <c r="C1882" s="495" t="s">
        <v>272</v>
      </c>
      <c r="D1882" s="928" t="s">
        <v>283</v>
      </c>
      <c r="E1882" s="929" t="s">
        <v>284</v>
      </c>
      <c r="F1882" s="928" t="s">
        <v>285</v>
      </c>
      <c r="G1882" s="929" t="s">
        <v>356</v>
      </c>
      <c r="H1882" s="930" t="s">
        <v>356</v>
      </c>
      <c r="I1882" s="495" t="s">
        <v>295</v>
      </c>
      <c r="J1882" s="499"/>
      <c r="K1882" s="929" t="s">
        <v>365</v>
      </c>
      <c r="L1882" s="931"/>
      <c r="M1882" s="929" t="s">
        <v>365</v>
      </c>
      <c r="N1882" s="931"/>
      <c r="O1882" s="931"/>
    </row>
    <row r="1883" spans="1:15" ht="13.5" thickBot="1">
      <c r="C1883" s="500" t="s">
        <v>177</v>
      </c>
      <c r="D1883" s="501" t="s">
        <v>178</v>
      </c>
      <c r="E1883" s="500" t="s">
        <v>37</v>
      </c>
      <c r="F1883" s="501" t="s">
        <v>178</v>
      </c>
      <c r="G1883" s="932" t="s">
        <v>298</v>
      </c>
      <c r="H1883" s="933" t="s">
        <v>300</v>
      </c>
      <c r="I1883" s="500" t="s">
        <v>389</v>
      </c>
      <c r="J1883" s="504"/>
      <c r="K1883" s="932" t="s">
        <v>287</v>
      </c>
      <c r="L1883" s="934"/>
      <c r="M1883" s="932" t="s">
        <v>300</v>
      </c>
      <c r="N1883" s="934"/>
      <c r="O1883" s="934"/>
    </row>
    <row r="1884" spans="1:15">
      <c r="C1884" s="505">
        <f>IF(D1878= "","-",D1878)</f>
        <v>2016</v>
      </c>
      <c r="D1884" s="469">
        <f>+D1877</f>
        <v>242015</v>
      </c>
      <c r="E1884" s="935">
        <f>+I1881/12*(12-D1879)</f>
        <v>2881.1309523809523</v>
      </c>
      <c r="F1884" s="469">
        <f t="shared" ref="F1884:F1943" si="120">+D1884-E1884</f>
        <v>239133.86904761905</v>
      </c>
      <c r="G1884" s="960">
        <f>+$I$1879*((D1884+F1884)/2)+E1884</f>
        <v>38959.180869006297</v>
      </c>
      <c r="H1884" s="961">
        <f>$I$1880*((D1884+F1884)/2)+E1884</f>
        <v>38959.180869006297</v>
      </c>
      <c r="I1884" s="509">
        <f>+H1884-G1884</f>
        <v>0</v>
      </c>
      <c r="J1884" s="509"/>
      <c r="K1884" s="639">
        <v>0</v>
      </c>
      <c r="L1884" s="510"/>
      <c r="M1884" s="639">
        <v>0</v>
      </c>
      <c r="N1884" s="510"/>
      <c r="O1884" s="510"/>
    </row>
    <row r="1885" spans="1:15">
      <c r="C1885" s="505">
        <f>IF(D1878="","-",+C1884+1)</f>
        <v>2017</v>
      </c>
      <c r="D1885" s="469">
        <f>F1884</f>
        <v>239133.86904761905</v>
      </c>
      <c r="E1885" s="511">
        <f>IF(D1885&gt;$I$1881,$I$1881,D1885)</f>
        <v>5762.2619047619046</v>
      </c>
      <c r="F1885" s="469">
        <f t="shared" si="120"/>
        <v>233371.60714285716</v>
      </c>
      <c r="G1885" s="935">
        <f t="shared" ref="G1885:G1943" si="121">+$I$1879*((D1885+F1885)/2)+E1885</f>
        <v>41192.203140250262</v>
      </c>
      <c r="H1885" s="938">
        <f t="shared" ref="H1885:H1943" si="122">$I$1880*((D1885+F1885)/2)+E1885</f>
        <v>41192.203140250262</v>
      </c>
      <c r="I1885" s="509">
        <f t="shared" ref="I1885:I1943" si="123">+H1885-G1885</f>
        <v>0</v>
      </c>
      <c r="J1885" s="509"/>
      <c r="K1885" s="640">
        <v>51695</v>
      </c>
      <c r="L1885" s="514"/>
      <c r="M1885" s="640">
        <v>51695</v>
      </c>
      <c r="N1885" s="514"/>
      <c r="O1885" s="514"/>
    </row>
    <row r="1886" spans="1:15">
      <c r="C1886" s="940">
        <f>IF(D1878="","-",+C1885+1)</f>
        <v>2018</v>
      </c>
      <c r="D1886" s="941">
        <f t="shared" ref="D1886:D1943" si="124">F1885</f>
        <v>233371.60714285716</v>
      </c>
      <c r="E1886" s="942">
        <f t="shared" ref="E1886:E1943" si="125">IF(D1886&gt;$I$1881,$I$1881,D1886)</f>
        <v>5762.2619047619046</v>
      </c>
      <c r="F1886" s="941">
        <f t="shared" si="120"/>
        <v>227609.34523809527</v>
      </c>
      <c r="G1886" s="943">
        <f t="shared" si="121"/>
        <v>40328.058232067619</v>
      </c>
      <c r="H1886" s="944">
        <f t="shared" si="122"/>
        <v>40328.058232067619</v>
      </c>
      <c r="I1886" s="945">
        <f t="shared" si="123"/>
        <v>0</v>
      </c>
      <c r="J1886" s="509"/>
      <c r="K1886" s="640"/>
      <c r="L1886" s="514"/>
      <c r="M1886" s="640"/>
      <c r="N1886" s="514"/>
      <c r="O1886" s="514"/>
    </row>
    <row r="1887" spans="1:15">
      <c r="C1887" s="505">
        <f>IF(D1878="","-",+C1886+1)</f>
        <v>2019</v>
      </c>
      <c r="D1887" s="469">
        <f t="shared" si="124"/>
        <v>227609.34523809527</v>
      </c>
      <c r="E1887" s="511">
        <f t="shared" si="125"/>
        <v>5762.2619047619046</v>
      </c>
      <c r="F1887" s="469">
        <f t="shared" si="120"/>
        <v>221847.08333333337</v>
      </c>
      <c r="G1887" s="935">
        <f t="shared" si="121"/>
        <v>39463.91332388499</v>
      </c>
      <c r="H1887" s="938">
        <f t="shared" si="122"/>
        <v>39463.91332388499</v>
      </c>
      <c r="I1887" s="509">
        <f t="shared" si="123"/>
        <v>0</v>
      </c>
      <c r="J1887" s="509"/>
      <c r="K1887" s="640"/>
      <c r="L1887" s="514"/>
      <c r="M1887" s="640"/>
      <c r="N1887" s="514"/>
      <c r="O1887" s="514"/>
    </row>
    <row r="1888" spans="1:15">
      <c r="C1888" s="505">
        <f>IF(D1878="","-",+C1887+1)</f>
        <v>2020</v>
      </c>
      <c r="D1888" s="469">
        <f t="shared" si="124"/>
        <v>221847.08333333337</v>
      </c>
      <c r="E1888" s="511">
        <f t="shared" si="125"/>
        <v>5762.2619047619046</v>
      </c>
      <c r="F1888" s="469">
        <f t="shared" si="120"/>
        <v>216084.82142857148</v>
      </c>
      <c r="G1888" s="935">
        <f t="shared" si="121"/>
        <v>38599.768415702347</v>
      </c>
      <c r="H1888" s="938">
        <f t="shared" si="122"/>
        <v>38599.768415702347</v>
      </c>
      <c r="I1888" s="509">
        <f t="shared" si="123"/>
        <v>0</v>
      </c>
      <c r="J1888" s="509"/>
      <c r="K1888" s="640"/>
      <c r="L1888" s="514"/>
      <c r="M1888" s="640"/>
      <c r="N1888" s="514"/>
      <c r="O1888" s="514"/>
    </row>
    <row r="1889" spans="3:15">
      <c r="C1889" s="505">
        <f>IF(D1878="","-",+C1888+1)</f>
        <v>2021</v>
      </c>
      <c r="D1889" s="469">
        <f t="shared" si="124"/>
        <v>216084.82142857148</v>
      </c>
      <c r="E1889" s="511">
        <f t="shared" si="125"/>
        <v>5762.2619047619046</v>
      </c>
      <c r="F1889" s="469">
        <f t="shared" si="120"/>
        <v>210322.55952380958</v>
      </c>
      <c r="G1889" s="935">
        <f t="shared" si="121"/>
        <v>37735.623507519704</v>
      </c>
      <c r="H1889" s="938">
        <f t="shared" si="122"/>
        <v>37735.623507519704</v>
      </c>
      <c r="I1889" s="509">
        <f t="shared" si="123"/>
        <v>0</v>
      </c>
      <c r="J1889" s="509"/>
      <c r="K1889" s="640"/>
      <c r="L1889" s="514"/>
      <c r="M1889" s="640"/>
      <c r="N1889" s="514"/>
      <c r="O1889" s="514"/>
    </row>
    <row r="1890" spans="3:15">
      <c r="C1890" s="505">
        <f>IF(D1878="","-",+C1889+1)</f>
        <v>2022</v>
      </c>
      <c r="D1890" s="469">
        <f t="shared" si="124"/>
        <v>210322.55952380958</v>
      </c>
      <c r="E1890" s="511">
        <f t="shared" si="125"/>
        <v>5762.2619047619046</v>
      </c>
      <c r="F1890" s="469">
        <f t="shared" si="120"/>
        <v>204560.29761904769</v>
      </c>
      <c r="G1890" s="935">
        <f t="shared" si="121"/>
        <v>36871.478599337061</v>
      </c>
      <c r="H1890" s="938">
        <f t="shared" si="122"/>
        <v>36871.478599337061</v>
      </c>
      <c r="I1890" s="509">
        <f t="shared" si="123"/>
        <v>0</v>
      </c>
      <c r="J1890" s="509"/>
      <c r="K1890" s="640"/>
      <c r="L1890" s="514"/>
      <c r="M1890" s="640"/>
      <c r="N1890" s="514"/>
      <c r="O1890" s="514"/>
    </row>
    <row r="1891" spans="3:15">
      <c r="C1891" s="505">
        <f>IF(D1878="","-",+C1890+1)</f>
        <v>2023</v>
      </c>
      <c r="D1891" s="469">
        <f t="shared" si="124"/>
        <v>204560.29761904769</v>
      </c>
      <c r="E1891" s="511">
        <f t="shared" si="125"/>
        <v>5762.2619047619046</v>
      </c>
      <c r="F1891" s="469">
        <f t="shared" si="120"/>
        <v>198798.0357142858</v>
      </c>
      <c r="G1891" s="935">
        <f t="shared" si="121"/>
        <v>36007.333691154417</v>
      </c>
      <c r="H1891" s="938">
        <f t="shared" si="122"/>
        <v>36007.333691154417</v>
      </c>
      <c r="I1891" s="509">
        <f t="shared" si="123"/>
        <v>0</v>
      </c>
      <c r="J1891" s="509"/>
      <c r="K1891" s="640"/>
      <c r="L1891" s="514"/>
      <c r="M1891" s="640"/>
      <c r="N1891" s="514"/>
      <c r="O1891" s="514"/>
    </row>
    <row r="1892" spans="3:15">
      <c r="C1892" s="505">
        <f>IF(D1878="","-",+C1891+1)</f>
        <v>2024</v>
      </c>
      <c r="D1892" s="469">
        <f t="shared" si="124"/>
        <v>198798.0357142858</v>
      </c>
      <c r="E1892" s="511">
        <f t="shared" si="125"/>
        <v>5762.2619047619046</v>
      </c>
      <c r="F1892" s="469">
        <f t="shared" si="120"/>
        <v>193035.7738095239</v>
      </c>
      <c r="G1892" s="935">
        <f t="shared" si="121"/>
        <v>35143.188782971774</v>
      </c>
      <c r="H1892" s="938">
        <f t="shared" si="122"/>
        <v>35143.188782971774</v>
      </c>
      <c r="I1892" s="509">
        <f t="shared" si="123"/>
        <v>0</v>
      </c>
      <c r="J1892" s="509"/>
      <c r="K1892" s="640"/>
      <c r="L1892" s="514"/>
      <c r="M1892" s="640"/>
      <c r="N1892" s="514"/>
      <c r="O1892" s="514"/>
    </row>
    <row r="1893" spans="3:15">
      <c r="C1893" s="505">
        <f>IF(D1878="","-",+C1892+1)</f>
        <v>2025</v>
      </c>
      <c r="D1893" s="469">
        <f t="shared" si="124"/>
        <v>193035.7738095239</v>
      </c>
      <c r="E1893" s="511">
        <f t="shared" si="125"/>
        <v>5762.2619047619046</v>
      </c>
      <c r="F1893" s="469">
        <f t="shared" si="120"/>
        <v>187273.51190476201</v>
      </c>
      <c r="G1893" s="935">
        <f t="shared" si="121"/>
        <v>34279.043874789138</v>
      </c>
      <c r="H1893" s="938">
        <f t="shared" si="122"/>
        <v>34279.043874789138</v>
      </c>
      <c r="I1893" s="509">
        <f t="shared" si="123"/>
        <v>0</v>
      </c>
      <c r="J1893" s="509"/>
      <c r="K1893" s="640"/>
      <c r="L1893" s="514"/>
      <c r="M1893" s="640"/>
      <c r="N1893" s="514"/>
      <c r="O1893" s="514"/>
    </row>
    <row r="1894" spans="3:15">
      <c r="C1894" s="505">
        <f>IF(D1878="","-",+C1893+1)</f>
        <v>2026</v>
      </c>
      <c r="D1894" s="469">
        <f t="shared" si="124"/>
        <v>187273.51190476201</v>
      </c>
      <c r="E1894" s="511">
        <f t="shared" si="125"/>
        <v>5762.2619047619046</v>
      </c>
      <c r="F1894" s="469">
        <f t="shared" si="120"/>
        <v>181511.25000000012</v>
      </c>
      <c r="G1894" s="935">
        <f t="shared" si="121"/>
        <v>33414.898966606495</v>
      </c>
      <c r="H1894" s="938">
        <f t="shared" si="122"/>
        <v>33414.898966606495</v>
      </c>
      <c r="I1894" s="509">
        <f t="shared" si="123"/>
        <v>0</v>
      </c>
      <c r="J1894" s="509"/>
      <c r="K1894" s="640"/>
      <c r="L1894" s="514"/>
      <c r="M1894" s="640"/>
      <c r="N1894" s="514"/>
      <c r="O1894" s="514"/>
    </row>
    <row r="1895" spans="3:15">
      <c r="C1895" s="505">
        <f>IF(D1878="","-",+C1894+1)</f>
        <v>2027</v>
      </c>
      <c r="D1895" s="469">
        <f t="shared" si="124"/>
        <v>181511.25000000012</v>
      </c>
      <c r="E1895" s="511">
        <f t="shared" si="125"/>
        <v>5762.2619047619046</v>
      </c>
      <c r="F1895" s="469">
        <f t="shared" si="120"/>
        <v>175748.98809523822</v>
      </c>
      <c r="G1895" s="935">
        <f t="shared" si="121"/>
        <v>32550.754058423856</v>
      </c>
      <c r="H1895" s="938">
        <f t="shared" si="122"/>
        <v>32550.754058423856</v>
      </c>
      <c r="I1895" s="509">
        <f t="shared" si="123"/>
        <v>0</v>
      </c>
      <c r="J1895" s="509"/>
      <c r="K1895" s="640"/>
      <c r="L1895" s="514"/>
      <c r="M1895" s="640"/>
      <c r="N1895" s="514"/>
      <c r="O1895" s="514"/>
    </row>
    <row r="1896" spans="3:15">
      <c r="C1896" s="505">
        <f>IF(D1878="","-",+C1895+1)</f>
        <v>2028</v>
      </c>
      <c r="D1896" s="469">
        <f t="shared" si="124"/>
        <v>175748.98809523822</v>
      </c>
      <c r="E1896" s="511">
        <f t="shared" si="125"/>
        <v>5762.2619047619046</v>
      </c>
      <c r="F1896" s="469">
        <f t="shared" si="120"/>
        <v>169986.72619047633</v>
      </c>
      <c r="G1896" s="935">
        <f t="shared" si="121"/>
        <v>31686.609150241213</v>
      </c>
      <c r="H1896" s="938">
        <f t="shared" si="122"/>
        <v>31686.609150241213</v>
      </c>
      <c r="I1896" s="509">
        <f t="shared" si="123"/>
        <v>0</v>
      </c>
      <c r="J1896" s="509"/>
      <c r="K1896" s="640"/>
      <c r="L1896" s="514"/>
      <c r="M1896" s="640"/>
      <c r="N1896" s="514"/>
      <c r="O1896" s="514"/>
    </row>
    <row r="1897" spans="3:15">
      <c r="C1897" s="505">
        <f>IF(D1878="","-",+C1896+1)</f>
        <v>2029</v>
      </c>
      <c r="D1897" s="469">
        <f t="shared" si="124"/>
        <v>169986.72619047633</v>
      </c>
      <c r="E1897" s="511">
        <f t="shared" si="125"/>
        <v>5762.2619047619046</v>
      </c>
      <c r="F1897" s="469">
        <f t="shared" si="120"/>
        <v>164224.46428571444</v>
      </c>
      <c r="G1897" s="935">
        <f t="shared" si="121"/>
        <v>30822.464242058573</v>
      </c>
      <c r="H1897" s="938">
        <f t="shared" si="122"/>
        <v>30822.464242058573</v>
      </c>
      <c r="I1897" s="509">
        <f t="shared" si="123"/>
        <v>0</v>
      </c>
      <c r="J1897" s="509"/>
      <c r="K1897" s="640"/>
      <c r="L1897" s="514"/>
      <c r="M1897" s="640"/>
      <c r="N1897" s="514"/>
      <c r="O1897" s="514"/>
    </row>
    <row r="1898" spans="3:15">
      <c r="C1898" s="505">
        <f>IF(D1878="","-",+C1897+1)</f>
        <v>2030</v>
      </c>
      <c r="D1898" s="469">
        <f t="shared" si="124"/>
        <v>164224.46428571444</v>
      </c>
      <c r="E1898" s="511">
        <f t="shared" si="125"/>
        <v>5762.2619047619046</v>
      </c>
      <c r="F1898" s="469">
        <f t="shared" si="120"/>
        <v>158462.20238095254</v>
      </c>
      <c r="G1898" s="935">
        <f t="shared" si="121"/>
        <v>29958.31933387593</v>
      </c>
      <c r="H1898" s="938">
        <f t="shared" si="122"/>
        <v>29958.31933387593</v>
      </c>
      <c r="I1898" s="509">
        <f t="shared" si="123"/>
        <v>0</v>
      </c>
      <c r="J1898" s="509"/>
      <c r="K1898" s="640"/>
      <c r="L1898" s="514"/>
      <c r="M1898" s="640"/>
      <c r="N1898" s="514"/>
      <c r="O1898" s="514"/>
    </row>
    <row r="1899" spans="3:15">
      <c r="C1899" s="505">
        <f>IF(D1878="","-",+C1898+1)</f>
        <v>2031</v>
      </c>
      <c r="D1899" s="469">
        <f t="shared" si="124"/>
        <v>158462.20238095254</v>
      </c>
      <c r="E1899" s="511">
        <f t="shared" si="125"/>
        <v>5762.2619047619046</v>
      </c>
      <c r="F1899" s="469">
        <f t="shared" si="120"/>
        <v>152699.94047619065</v>
      </c>
      <c r="G1899" s="935">
        <f t="shared" si="121"/>
        <v>29094.174425693291</v>
      </c>
      <c r="H1899" s="938">
        <f t="shared" si="122"/>
        <v>29094.174425693291</v>
      </c>
      <c r="I1899" s="509">
        <f t="shared" si="123"/>
        <v>0</v>
      </c>
      <c r="J1899" s="509"/>
      <c r="K1899" s="640"/>
      <c r="L1899" s="514"/>
      <c r="M1899" s="640"/>
      <c r="N1899" s="514"/>
      <c r="O1899" s="514"/>
    </row>
    <row r="1900" spans="3:15">
      <c r="C1900" s="505">
        <f>IF(D1878="","-",+C1899+1)</f>
        <v>2032</v>
      </c>
      <c r="D1900" s="469">
        <f t="shared" si="124"/>
        <v>152699.94047619065</v>
      </c>
      <c r="E1900" s="511">
        <f t="shared" si="125"/>
        <v>5762.2619047619046</v>
      </c>
      <c r="F1900" s="469">
        <f t="shared" si="120"/>
        <v>146937.67857142875</v>
      </c>
      <c r="G1900" s="935">
        <f t="shared" si="121"/>
        <v>28230.029517510648</v>
      </c>
      <c r="H1900" s="938">
        <f t="shared" si="122"/>
        <v>28230.029517510648</v>
      </c>
      <c r="I1900" s="509">
        <f t="shared" si="123"/>
        <v>0</v>
      </c>
      <c r="J1900" s="509"/>
      <c r="K1900" s="640"/>
      <c r="L1900" s="514"/>
      <c r="M1900" s="640"/>
      <c r="N1900" s="514"/>
      <c r="O1900" s="514"/>
    </row>
    <row r="1901" spans="3:15">
      <c r="C1901" s="505">
        <f>IF(D1878="","-",+C1900+1)</f>
        <v>2033</v>
      </c>
      <c r="D1901" s="469">
        <f t="shared" si="124"/>
        <v>146937.67857142875</v>
      </c>
      <c r="E1901" s="511">
        <f t="shared" si="125"/>
        <v>5762.2619047619046</v>
      </c>
      <c r="F1901" s="469">
        <f t="shared" si="120"/>
        <v>141175.41666666686</v>
      </c>
      <c r="G1901" s="935">
        <f t="shared" si="121"/>
        <v>27365.884609328008</v>
      </c>
      <c r="H1901" s="938">
        <f t="shared" si="122"/>
        <v>27365.884609328008</v>
      </c>
      <c r="I1901" s="509">
        <f t="shared" si="123"/>
        <v>0</v>
      </c>
      <c r="J1901" s="509"/>
      <c r="K1901" s="640"/>
      <c r="L1901" s="514"/>
      <c r="M1901" s="640"/>
      <c r="N1901" s="514"/>
      <c r="O1901" s="514"/>
    </row>
    <row r="1902" spans="3:15">
      <c r="C1902" s="505">
        <f>IF(D1878="","-",+C1901+1)</f>
        <v>2034</v>
      </c>
      <c r="D1902" s="469">
        <f t="shared" si="124"/>
        <v>141175.41666666686</v>
      </c>
      <c r="E1902" s="511">
        <f t="shared" si="125"/>
        <v>5762.2619047619046</v>
      </c>
      <c r="F1902" s="469">
        <f t="shared" si="120"/>
        <v>135413.15476190497</v>
      </c>
      <c r="G1902" s="935">
        <f t="shared" si="121"/>
        <v>26501.739701145365</v>
      </c>
      <c r="H1902" s="938">
        <f t="shared" si="122"/>
        <v>26501.739701145365</v>
      </c>
      <c r="I1902" s="509">
        <f t="shared" si="123"/>
        <v>0</v>
      </c>
      <c r="J1902" s="509"/>
      <c r="K1902" s="640"/>
      <c r="L1902" s="514"/>
      <c r="M1902" s="640"/>
      <c r="N1902" s="514"/>
      <c r="O1902" s="514"/>
    </row>
    <row r="1903" spans="3:15">
      <c r="C1903" s="505">
        <f>IF(D1878="","-",+C1902+1)</f>
        <v>2035</v>
      </c>
      <c r="D1903" s="469">
        <f t="shared" si="124"/>
        <v>135413.15476190497</v>
      </c>
      <c r="E1903" s="511">
        <f t="shared" si="125"/>
        <v>5762.2619047619046</v>
      </c>
      <c r="F1903" s="469">
        <f t="shared" si="120"/>
        <v>129650.89285714306</v>
      </c>
      <c r="G1903" s="935">
        <f t="shared" si="121"/>
        <v>25637.594792962725</v>
      </c>
      <c r="H1903" s="938">
        <f t="shared" si="122"/>
        <v>25637.594792962725</v>
      </c>
      <c r="I1903" s="509">
        <f t="shared" si="123"/>
        <v>0</v>
      </c>
      <c r="J1903" s="509"/>
      <c r="K1903" s="640"/>
      <c r="L1903" s="514"/>
      <c r="M1903" s="640"/>
      <c r="N1903" s="514"/>
      <c r="O1903" s="514"/>
    </row>
    <row r="1904" spans="3:15">
      <c r="C1904" s="505">
        <f>IF(D1878="","-",+C1903+1)</f>
        <v>2036</v>
      </c>
      <c r="D1904" s="469">
        <f t="shared" si="124"/>
        <v>129650.89285714306</v>
      </c>
      <c r="E1904" s="511">
        <f t="shared" si="125"/>
        <v>5762.2619047619046</v>
      </c>
      <c r="F1904" s="469">
        <f t="shared" si="120"/>
        <v>123888.63095238115</v>
      </c>
      <c r="G1904" s="935">
        <f t="shared" si="121"/>
        <v>24773.449884780079</v>
      </c>
      <c r="H1904" s="938">
        <f t="shared" si="122"/>
        <v>24773.449884780079</v>
      </c>
      <c r="I1904" s="509">
        <f t="shared" si="123"/>
        <v>0</v>
      </c>
      <c r="J1904" s="509"/>
      <c r="K1904" s="640"/>
      <c r="L1904" s="514"/>
      <c r="M1904" s="640"/>
      <c r="N1904" s="514"/>
      <c r="O1904" s="514"/>
    </row>
    <row r="1905" spans="3:15">
      <c r="C1905" s="505">
        <f>IF(D1878="","-",+C1904+1)</f>
        <v>2037</v>
      </c>
      <c r="D1905" s="469">
        <f t="shared" si="124"/>
        <v>123888.63095238115</v>
      </c>
      <c r="E1905" s="511">
        <f t="shared" si="125"/>
        <v>5762.2619047619046</v>
      </c>
      <c r="F1905" s="469">
        <f t="shared" si="120"/>
        <v>118126.36904761924</v>
      </c>
      <c r="G1905" s="935">
        <f t="shared" si="121"/>
        <v>23909.304976597436</v>
      </c>
      <c r="H1905" s="938">
        <f t="shared" si="122"/>
        <v>23909.304976597436</v>
      </c>
      <c r="I1905" s="509">
        <f t="shared" si="123"/>
        <v>0</v>
      </c>
      <c r="J1905" s="509"/>
      <c r="K1905" s="640"/>
      <c r="L1905" s="514"/>
      <c r="M1905" s="640"/>
      <c r="N1905" s="514"/>
      <c r="O1905" s="514"/>
    </row>
    <row r="1906" spans="3:15">
      <c r="C1906" s="505">
        <f>IF(D1878="","-",+C1905+1)</f>
        <v>2038</v>
      </c>
      <c r="D1906" s="469">
        <f t="shared" si="124"/>
        <v>118126.36904761924</v>
      </c>
      <c r="E1906" s="511">
        <f t="shared" si="125"/>
        <v>5762.2619047619046</v>
      </c>
      <c r="F1906" s="469">
        <f t="shared" si="120"/>
        <v>112364.10714285733</v>
      </c>
      <c r="G1906" s="935">
        <f t="shared" si="121"/>
        <v>23045.160068414792</v>
      </c>
      <c r="H1906" s="938">
        <f t="shared" si="122"/>
        <v>23045.160068414792</v>
      </c>
      <c r="I1906" s="509">
        <f t="shared" si="123"/>
        <v>0</v>
      </c>
      <c r="J1906" s="509"/>
      <c r="K1906" s="640"/>
      <c r="L1906" s="514"/>
      <c r="M1906" s="640"/>
      <c r="N1906" s="514"/>
      <c r="O1906" s="514"/>
    </row>
    <row r="1907" spans="3:15">
      <c r="C1907" s="505">
        <f>IF(D1878="","-",+C1906+1)</f>
        <v>2039</v>
      </c>
      <c r="D1907" s="469">
        <f t="shared" si="124"/>
        <v>112364.10714285733</v>
      </c>
      <c r="E1907" s="511">
        <f t="shared" si="125"/>
        <v>5762.2619047619046</v>
      </c>
      <c r="F1907" s="469">
        <f t="shared" si="120"/>
        <v>106601.84523809543</v>
      </c>
      <c r="G1907" s="935">
        <f t="shared" si="121"/>
        <v>22181.015160232149</v>
      </c>
      <c r="H1907" s="938">
        <f t="shared" si="122"/>
        <v>22181.015160232149</v>
      </c>
      <c r="I1907" s="509">
        <f t="shared" si="123"/>
        <v>0</v>
      </c>
      <c r="J1907" s="509"/>
      <c r="K1907" s="640"/>
      <c r="L1907" s="514"/>
      <c r="M1907" s="640"/>
      <c r="N1907" s="514"/>
      <c r="O1907" s="514"/>
    </row>
    <row r="1908" spans="3:15">
      <c r="C1908" s="505">
        <f>IF(D1878="","-",+C1907+1)</f>
        <v>2040</v>
      </c>
      <c r="D1908" s="469">
        <f t="shared" si="124"/>
        <v>106601.84523809543</v>
      </c>
      <c r="E1908" s="511">
        <f t="shared" si="125"/>
        <v>5762.2619047619046</v>
      </c>
      <c r="F1908" s="469">
        <f t="shared" si="120"/>
        <v>100839.58333333352</v>
      </c>
      <c r="G1908" s="935">
        <f t="shared" si="121"/>
        <v>21316.870252049506</v>
      </c>
      <c r="H1908" s="938">
        <f t="shared" si="122"/>
        <v>21316.870252049506</v>
      </c>
      <c r="I1908" s="509">
        <f t="shared" si="123"/>
        <v>0</v>
      </c>
      <c r="J1908" s="509"/>
      <c r="K1908" s="640"/>
      <c r="L1908" s="514"/>
      <c r="M1908" s="640"/>
      <c r="N1908" s="514"/>
      <c r="O1908" s="514"/>
    </row>
    <row r="1909" spans="3:15">
      <c r="C1909" s="505">
        <f>IF(D1878="","-",+C1908+1)</f>
        <v>2041</v>
      </c>
      <c r="D1909" s="469">
        <f t="shared" si="124"/>
        <v>100839.58333333352</v>
      </c>
      <c r="E1909" s="511">
        <f t="shared" si="125"/>
        <v>5762.2619047619046</v>
      </c>
      <c r="F1909" s="469">
        <f t="shared" si="120"/>
        <v>95077.321428571609</v>
      </c>
      <c r="G1909" s="935">
        <f t="shared" si="121"/>
        <v>20452.725343866863</v>
      </c>
      <c r="H1909" s="938">
        <f t="shared" si="122"/>
        <v>20452.725343866863</v>
      </c>
      <c r="I1909" s="509">
        <f t="shared" si="123"/>
        <v>0</v>
      </c>
      <c r="J1909" s="509"/>
      <c r="K1909" s="640"/>
      <c r="L1909" s="514"/>
      <c r="M1909" s="640"/>
      <c r="N1909" s="514"/>
      <c r="O1909" s="514"/>
    </row>
    <row r="1910" spans="3:15">
      <c r="C1910" s="505">
        <f>IF(D1878="","-",+C1909+1)</f>
        <v>2042</v>
      </c>
      <c r="D1910" s="469">
        <f t="shared" si="124"/>
        <v>95077.321428571609</v>
      </c>
      <c r="E1910" s="511">
        <f t="shared" si="125"/>
        <v>5762.2619047619046</v>
      </c>
      <c r="F1910" s="469">
        <f t="shared" si="120"/>
        <v>89315.059523809701</v>
      </c>
      <c r="G1910" s="935">
        <f t="shared" si="121"/>
        <v>19588.58043568422</v>
      </c>
      <c r="H1910" s="938">
        <f t="shared" si="122"/>
        <v>19588.58043568422</v>
      </c>
      <c r="I1910" s="509">
        <f t="shared" si="123"/>
        <v>0</v>
      </c>
      <c r="J1910" s="509"/>
      <c r="K1910" s="640"/>
      <c r="L1910" s="514"/>
      <c r="M1910" s="640"/>
      <c r="N1910" s="514"/>
      <c r="O1910" s="514"/>
    </row>
    <row r="1911" spans="3:15">
      <c r="C1911" s="505">
        <f>IF(D1878="","-",+C1910+1)</f>
        <v>2043</v>
      </c>
      <c r="D1911" s="469">
        <f t="shared" si="124"/>
        <v>89315.059523809701</v>
      </c>
      <c r="E1911" s="511">
        <f t="shared" si="125"/>
        <v>5762.2619047619046</v>
      </c>
      <c r="F1911" s="469">
        <f t="shared" si="120"/>
        <v>83552.797619047793</v>
      </c>
      <c r="G1911" s="935">
        <f t="shared" si="121"/>
        <v>18724.435527501577</v>
      </c>
      <c r="H1911" s="938">
        <f t="shared" si="122"/>
        <v>18724.435527501577</v>
      </c>
      <c r="I1911" s="509">
        <f t="shared" si="123"/>
        <v>0</v>
      </c>
      <c r="J1911" s="509"/>
      <c r="K1911" s="640"/>
      <c r="L1911" s="514"/>
      <c r="M1911" s="640"/>
      <c r="N1911" s="514"/>
      <c r="O1911" s="514"/>
    </row>
    <row r="1912" spans="3:15">
      <c r="C1912" s="505">
        <f>IF(D1878="","-",+C1911+1)</f>
        <v>2044</v>
      </c>
      <c r="D1912" s="469">
        <f t="shared" si="124"/>
        <v>83552.797619047793</v>
      </c>
      <c r="E1912" s="511">
        <f t="shared" si="125"/>
        <v>5762.2619047619046</v>
      </c>
      <c r="F1912" s="469">
        <f t="shared" si="120"/>
        <v>77790.535714285885</v>
      </c>
      <c r="G1912" s="936">
        <f t="shared" si="121"/>
        <v>17860.29061931893</v>
      </c>
      <c r="H1912" s="938">
        <f t="shared" si="122"/>
        <v>17860.29061931893</v>
      </c>
      <c r="I1912" s="509">
        <f t="shared" si="123"/>
        <v>0</v>
      </c>
      <c r="J1912" s="509"/>
      <c r="K1912" s="640"/>
      <c r="L1912" s="514"/>
      <c r="M1912" s="640"/>
      <c r="N1912" s="514"/>
      <c r="O1912" s="514"/>
    </row>
    <row r="1913" spans="3:15">
      <c r="C1913" s="505">
        <f>IF(D1878="","-",+C1912+1)</f>
        <v>2045</v>
      </c>
      <c r="D1913" s="469">
        <f t="shared" si="124"/>
        <v>77790.535714285885</v>
      </c>
      <c r="E1913" s="511">
        <f t="shared" si="125"/>
        <v>5762.2619047619046</v>
      </c>
      <c r="F1913" s="469">
        <f t="shared" si="120"/>
        <v>72028.273809523977</v>
      </c>
      <c r="G1913" s="935">
        <f t="shared" si="121"/>
        <v>16996.145711136291</v>
      </c>
      <c r="H1913" s="938">
        <f t="shared" si="122"/>
        <v>16996.145711136291</v>
      </c>
      <c r="I1913" s="509">
        <f t="shared" si="123"/>
        <v>0</v>
      </c>
      <c r="J1913" s="509"/>
      <c r="K1913" s="640"/>
      <c r="L1913" s="514"/>
      <c r="M1913" s="640"/>
      <c r="N1913" s="514"/>
      <c r="O1913" s="514"/>
    </row>
    <row r="1914" spans="3:15">
      <c r="C1914" s="505">
        <f>IF(D1878="","-",+C1913+1)</f>
        <v>2046</v>
      </c>
      <c r="D1914" s="469">
        <f t="shared" si="124"/>
        <v>72028.273809523977</v>
      </c>
      <c r="E1914" s="511">
        <f t="shared" si="125"/>
        <v>5762.2619047619046</v>
      </c>
      <c r="F1914" s="469">
        <f t="shared" si="120"/>
        <v>66266.011904762068</v>
      </c>
      <c r="G1914" s="935">
        <f t="shared" si="121"/>
        <v>16132.000802953644</v>
      </c>
      <c r="H1914" s="938">
        <f t="shared" si="122"/>
        <v>16132.000802953644</v>
      </c>
      <c r="I1914" s="509">
        <f t="shared" si="123"/>
        <v>0</v>
      </c>
      <c r="J1914" s="509"/>
      <c r="K1914" s="640"/>
      <c r="L1914" s="514"/>
      <c r="M1914" s="640"/>
      <c r="N1914" s="514"/>
      <c r="O1914" s="514"/>
    </row>
    <row r="1915" spans="3:15">
      <c r="C1915" s="505">
        <f>IF(D1878="","-",+C1914+1)</f>
        <v>2047</v>
      </c>
      <c r="D1915" s="469">
        <f t="shared" si="124"/>
        <v>66266.011904762068</v>
      </c>
      <c r="E1915" s="511">
        <f t="shared" si="125"/>
        <v>5762.2619047619046</v>
      </c>
      <c r="F1915" s="469">
        <f t="shared" si="120"/>
        <v>60503.75000000016</v>
      </c>
      <c r="G1915" s="935">
        <f t="shared" si="121"/>
        <v>15267.855894771001</v>
      </c>
      <c r="H1915" s="938">
        <f t="shared" si="122"/>
        <v>15267.855894771001</v>
      </c>
      <c r="I1915" s="509">
        <f t="shared" si="123"/>
        <v>0</v>
      </c>
      <c r="J1915" s="509"/>
      <c r="K1915" s="640"/>
      <c r="L1915" s="514"/>
      <c r="M1915" s="640"/>
      <c r="N1915" s="514"/>
      <c r="O1915" s="514"/>
    </row>
    <row r="1916" spans="3:15">
      <c r="C1916" s="505">
        <f>IF(D1878="","-",+C1915+1)</f>
        <v>2048</v>
      </c>
      <c r="D1916" s="469">
        <f t="shared" si="124"/>
        <v>60503.75000000016</v>
      </c>
      <c r="E1916" s="511">
        <f t="shared" si="125"/>
        <v>5762.2619047619046</v>
      </c>
      <c r="F1916" s="469">
        <f t="shared" si="120"/>
        <v>54741.488095238252</v>
      </c>
      <c r="G1916" s="935">
        <f t="shared" si="121"/>
        <v>14403.710986588358</v>
      </c>
      <c r="H1916" s="938">
        <f t="shared" si="122"/>
        <v>14403.710986588358</v>
      </c>
      <c r="I1916" s="509">
        <f t="shared" si="123"/>
        <v>0</v>
      </c>
      <c r="J1916" s="509"/>
      <c r="K1916" s="640"/>
      <c r="L1916" s="514"/>
      <c r="M1916" s="640"/>
      <c r="N1916" s="514"/>
      <c r="O1916" s="514"/>
    </row>
    <row r="1917" spans="3:15">
      <c r="C1917" s="505">
        <f>IF(D1878="","-",+C1916+1)</f>
        <v>2049</v>
      </c>
      <c r="D1917" s="469">
        <f t="shared" si="124"/>
        <v>54741.488095238252</v>
      </c>
      <c r="E1917" s="511">
        <f t="shared" si="125"/>
        <v>5762.2619047619046</v>
      </c>
      <c r="F1917" s="469">
        <f t="shared" si="120"/>
        <v>48979.226190476344</v>
      </c>
      <c r="G1917" s="935">
        <f t="shared" si="121"/>
        <v>13539.566078405715</v>
      </c>
      <c r="H1917" s="938">
        <f t="shared" si="122"/>
        <v>13539.566078405715</v>
      </c>
      <c r="I1917" s="509">
        <f t="shared" si="123"/>
        <v>0</v>
      </c>
      <c r="J1917" s="509"/>
      <c r="K1917" s="640"/>
      <c r="L1917" s="514"/>
      <c r="M1917" s="640"/>
      <c r="N1917" s="514"/>
      <c r="O1917" s="514"/>
    </row>
    <row r="1918" spans="3:15">
      <c r="C1918" s="505">
        <f>IF(D1878="","-",+C1917+1)</f>
        <v>2050</v>
      </c>
      <c r="D1918" s="469">
        <f t="shared" si="124"/>
        <v>48979.226190476344</v>
      </c>
      <c r="E1918" s="511">
        <f t="shared" si="125"/>
        <v>5762.2619047619046</v>
      </c>
      <c r="F1918" s="469">
        <f t="shared" si="120"/>
        <v>43216.964285714435</v>
      </c>
      <c r="G1918" s="935">
        <f t="shared" si="121"/>
        <v>12675.421170223071</v>
      </c>
      <c r="H1918" s="938">
        <f t="shared" si="122"/>
        <v>12675.421170223071</v>
      </c>
      <c r="I1918" s="509">
        <f t="shared" si="123"/>
        <v>0</v>
      </c>
      <c r="J1918" s="509"/>
      <c r="K1918" s="640"/>
      <c r="L1918" s="514"/>
      <c r="M1918" s="640"/>
      <c r="N1918" s="514"/>
      <c r="O1918" s="514"/>
    </row>
    <row r="1919" spans="3:15">
      <c r="C1919" s="505">
        <f>IF(D1878="","-",+C1918+1)</f>
        <v>2051</v>
      </c>
      <c r="D1919" s="469">
        <f t="shared" si="124"/>
        <v>43216.964285714435</v>
      </c>
      <c r="E1919" s="511">
        <f t="shared" si="125"/>
        <v>5762.2619047619046</v>
      </c>
      <c r="F1919" s="469">
        <f t="shared" si="120"/>
        <v>37454.702380952527</v>
      </c>
      <c r="G1919" s="935">
        <f t="shared" si="121"/>
        <v>11811.276262040428</v>
      </c>
      <c r="H1919" s="938">
        <f t="shared" si="122"/>
        <v>11811.276262040428</v>
      </c>
      <c r="I1919" s="509">
        <f t="shared" si="123"/>
        <v>0</v>
      </c>
      <c r="J1919" s="509"/>
      <c r="K1919" s="640"/>
      <c r="L1919" s="514"/>
      <c r="M1919" s="640"/>
      <c r="N1919" s="514"/>
      <c r="O1919" s="514"/>
    </row>
    <row r="1920" spans="3:15">
      <c r="C1920" s="505">
        <f>IF(D1878="","-",+C1919+1)</f>
        <v>2052</v>
      </c>
      <c r="D1920" s="469">
        <f t="shared" si="124"/>
        <v>37454.702380952527</v>
      </c>
      <c r="E1920" s="511">
        <f t="shared" si="125"/>
        <v>5762.2619047619046</v>
      </c>
      <c r="F1920" s="469">
        <f t="shared" si="120"/>
        <v>31692.440476190623</v>
      </c>
      <c r="G1920" s="935">
        <f t="shared" si="121"/>
        <v>10947.131353857785</v>
      </c>
      <c r="H1920" s="938">
        <f t="shared" si="122"/>
        <v>10947.131353857785</v>
      </c>
      <c r="I1920" s="509">
        <f t="shared" si="123"/>
        <v>0</v>
      </c>
      <c r="J1920" s="509"/>
      <c r="K1920" s="640"/>
      <c r="L1920" s="514"/>
      <c r="M1920" s="640"/>
      <c r="N1920" s="514"/>
      <c r="O1920" s="514"/>
    </row>
    <row r="1921" spans="3:15">
      <c r="C1921" s="505">
        <f>IF(D1878="","-",+C1920+1)</f>
        <v>2053</v>
      </c>
      <c r="D1921" s="469">
        <f t="shared" si="124"/>
        <v>31692.440476190623</v>
      </c>
      <c r="E1921" s="511">
        <f t="shared" si="125"/>
        <v>5762.2619047619046</v>
      </c>
      <c r="F1921" s="469">
        <f t="shared" si="120"/>
        <v>25930.178571428718</v>
      </c>
      <c r="G1921" s="935">
        <f t="shared" si="121"/>
        <v>10082.986445675142</v>
      </c>
      <c r="H1921" s="938">
        <f t="shared" si="122"/>
        <v>10082.986445675142</v>
      </c>
      <c r="I1921" s="509">
        <f t="shared" si="123"/>
        <v>0</v>
      </c>
      <c r="J1921" s="509"/>
      <c r="K1921" s="640"/>
      <c r="L1921" s="514"/>
      <c r="M1921" s="640"/>
      <c r="N1921" s="514"/>
      <c r="O1921" s="514"/>
    </row>
    <row r="1922" spans="3:15">
      <c r="C1922" s="505">
        <f>IF(D1878="","-",+C1921+1)</f>
        <v>2054</v>
      </c>
      <c r="D1922" s="469">
        <f t="shared" si="124"/>
        <v>25930.178571428718</v>
      </c>
      <c r="E1922" s="511">
        <f t="shared" si="125"/>
        <v>5762.2619047619046</v>
      </c>
      <c r="F1922" s="469">
        <f t="shared" si="120"/>
        <v>20167.916666666813</v>
      </c>
      <c r="G1922" s="935">
        <f t="shared" si="121"/>
        <v>9218.8415374924989</v>
      </c>
      <c r="H1922" s="938">
        <f t="shared" si="122"/>
        <v>9218.8415374924989</v>
      </c>
      <c r="I1922" s="509">
        <f t="shared" si="123"/>
        <v>0</v>
      </c>
      <c r="J1922" s="509"/>
      <c r="K1922" s="640"/>
      <c r="L1922" s="514"/>
      <c r="M1922" s="640"/>
      <c r="N1922" s="514"/>
      <c r="O1922" s="514"/>
    </row>
    <row r="1923" spans="3:15">
      <c r="C1923" s="505">
        <f>IF(D1878="","-",+C1922+1)</f>
        <v>2055</v>
      </c>
      <c r="D1923" s="469">
        <f t="shared" si="124"/>
        <v>20167.916666666813</v>
      </c>
      <c r="E1923" s="511">
        <f t="shared" si="125"/>
        <v>5762.2619047619046</v>
      </c>
      <c r="F1923" s="469">
        <f t="shared" si="120"/>
        <v>14405.654761904909</v>
      </c>
      <c r="G1923" s="935">
        <f t="shared" si="121"/>
        <v>8354.6966293098558</v>
      </c>
      <c r="H1923" s="938">
        <f t="shared" si="122"/>
        <v>8354.6966293098558</v>
      </c>
      <c r="I1923" s="509">
        <f t="shared" si="123"/>
        <v>0</v>
      </c>
      <c r="J1923" s="509"/>
      <c r="K1923" s="640"/>
      <c r="L1923" s="514"/>
      <c r="M1923" s="640"/>
      <c r="N1923" s="514"/>
      <c r="O1923" s="514"/>
    </row>
    <row r="1924" spans="3:15">
      <c r="C1924" s="505">
        <f>IF(D1878="","-",+C1923+1)</f>
        <v>2056</v>
      </c>
      <c r="D1924" s="469">
        <f t="shared" si="124"/>
        <v>14405.654761904909</v>
      </c>
      <c r="E1924" s="511">
        <f t="shared" si="125"/>
        <v>5762.2619047619046</v>
      </c>
      <c r="F1924" s="469">
        <f t="shared" si="120"/>
        <v>8643.3928571430042</v>
      </c>
      <c r="G1924" s="935">
        <f t="shared" si="121"/>
        <v>7490.5517211272127</v>
      </c>
      <c r="H1924" s="938">
        <f t="shared" si="122"/>
        <v>7490.5517211272127</v>
      </c>
      <c r="I1924" s="509">
        <f t="shared" si="123"/>
        <v>0</v>
      </c>
      <c r="J1924" s="509"/>
      <c r="K1924" s="640"/>
      <c r="L1924" s="514"/>
      <c r="M1924" s="640"/>
      <c r="N1924" s="514"/>
      <c r="O1924" s="514"/>
    </row>
    <row r="1925" spans="3:15">
      <c r="C1925" s="505">
        <f>IF(D1878="","-",+C1924+1)</f>
        <v>2057</v>
      </c>
      <c r="D1925" s="469">
        <f t="shared" si="124"/>
        <v>8643.3928571430042</v>
      </c>
      <c r="E1925" s="511">
        <f t="shared" si="125"/>
        <v>5762.2619047619046</v>
      </c>
      <c r="F1925" s="469">
        <f t="shared" si="120"/>
        <v>2881.1309523810996</v>
      </c>
      <c r="G1925" s="935">
        <f t="shared" si="121"/>
        <v>6626.4068129445695</v>
      </c>
      <c r="H1925" s="938">
        <f t="shared" si="122"/>
        <v>6626.4068129445695</v>
      </c>
      <c r="I1925" s="509">
        <f t="shared" si="123"/>
        <v>0</v>
      </c>
      <c r="J1925" s="509"/>
      <c r="K1925" s="640"/>
      <c r="L1925" s="514"/>
      <c r="M1925" s="640"/>
      <c r="N1925" s="514"/>
      <c r="O1925" s="514"/>
    </row>
    <row r="1926" spans="3:15">
      <c r="C1926" s="505">
        <f>IF(D1878="","-",+C1925+1)</f>
        <v>2058</v>
      </c>
      <c r="D1926" s="469">
        <f t="shared" si="124"/>
        <v>2881.1309523810996</v>
      </c>
      <c r="E1926" s="511">
        <f t="shared" si="125"/>
        <v>2881.1309523810996</v>
      </c>
      <c r="F1926" s="469">
        <f t="shared" si="120"/>
        <v>0</v>
      </c>
      <c r="G1926" s="935">
        <f t="shared" si="121"/>
        <v>3097.1671794267713</v>
      </c>
      <c r="H1926" s="938">
        <f t="shared" si="122"/>
        <v>3097.1671794267713</v>
      </c>
      <c r="I1926" s="509">
        <f t="shared" si="123"/>
        <v>0</v>
      </c>
      <c r="J1926" s="509"/>
      <c r="K1926" s="640"/>
      <c r="L1926" s="514"/>
      <c r="M1926" s="640"/>
      <c r="N1926" s="514"/>
      <c r="O1926" s="514"/>
    </row>
    <row r="1927" spans="3:15">
      <c r="C1927" s="505">
        <f>IF(D1878="","-",+C1926+1)</f>
        <v>2059</v>
      </c>
      <c r="D1927" s="469">
        <f t="shared" si="124"/>
        <v>0</v>
      </c>
      <c r="E1927" s="511">
        <f t="shared" si="125"/>
        <v>0</v>
      </c>
      <c r="F1927" s="469">
        <f t="shared" si="120"/>
        <v>0</v>
      </c>
      <c r="G1927" s="935">
        <f t="shared" si="121"/>
        <v>0</v>
      </c>
      <c r="H1927" s="938">
        <f t="shared" si="122"/>
        <v>0</v>
      </c>
      <c r="I1927" s="509">
        <f t="shared" si="123"/>
        <v>0</v>
      </c>
      <c r="J1927" s="509"/>
      <c r="K1927" s="640"/>
      <c r="L1927" s="514"/>
      <c r="M1927" s="640"/>
      <c r="N1927" s="514"/>
      <c r="O1927" s="514"/>
    </row>
    <row r="1928" spans="3:15">
      <c r="C1928" s="505">
        <f>IF(D1878="","-",+C1927+1)</f>
        <v>2060</v>
      </c>
      <c r="D1928" s="469">
        <f t="shared" si="124"/>
        <v>0</v>
      </c>
      <c r="E1928" s="511">
        <f t="shared" si="125"/>
        <v>0</v>
      </c>
      <c r="F1928" s="469">
        <f t="shared" si="120"/>
        <v>0</v>
      </c>
      <c r="G1928" s="935">
        <f t="shared" si="121"/>
        <v>0</v>
      </c>
      <c r="H1928" s="938">
        <f t="shared" si="122"/>
        <v>0</v>
      </c>
      <c r="I1928" s="509">
        <f t="shared" si="123"/>
        <v>0</v>
      </c>
      <c r="J1928" s="509"/>
      <c r="K1928" s="640"/>
      <c r="L1928" s="514"/>
      <c r="M1928" s="640"/>
      <c r="N1928" s="514"/>
      <c r="O1928" s="514"/>
    </row>
    <row r="1929" spans="3:15">
      <c r="C1929" s="505">
        <f>IF(D1878="","-",+C1928+1)</f>
        <v>2061</v>
      </c>
      <c r="D1929" s="469">
        <f t="shared" si="124"/>
        <v>0</v>
      </c>
      <c r="E1929" s="511">
        <f t="shared" si="125"/>
        <v>0</v>
      </c>
      <c r="F1929" s="469">
        <f t="shared" si="120"/>
        <v>0</v>
      </c>
      <c r="G1929" s="935">
        <f t="shared" si="121"/>
        <v>0</v>
      </c>
      <c r="H1929" s="938">
        <f t="shared" si="122"/>
        <v>0</v>
      </c>
      <c r="I1929" s="509">
        <f t="shared" si="123"/>
        <v>0</v>
      </c>
      <c r="J1929" s="509"/>
      <c r="K1929" s="640"/>
      <c r="L1929" s="514"/>
      <c r="M1929" s="640"/>
      <c r="N1929" s="514"/>
      <c r="O1929" s="514"/>
    </row>
    <row r="1930" spans="3:15">
      <c r="C1930" s="505">
        <f>IF(D1878="","-",+C1929+1)</f>
        <v>2062</v>
      </c>
      <c r="D1930" s="469">
        <f t="shared" si="124"/>
        <v>0</v>
      </c>
      <c r="E1930" s="511">
        <f t="shared" si="125"/>
        <v>0</v>
      </c>
      <c r="F1930" s="469">
        <f t="shared" si="120"/>
        <v>0</v>
      </c>
      <c r="G1930" s="935">
        <f t="shared" si="121"/>
        <v>0</v>
      </c>
      <c r="H1930" s="938">
        <f t="shared" si="122"/>
        <v>0</v>
      </c>
      <c r="I1930" s="509">
        <f t="shared" si="123"/>
        <v>0</v>
      </c>
      <c r="J1930" s="509"/>
      <c r="K1930" s="640"/>
      <c r="L1930" s="514"/>
      <c r="M1930" s="640"/>
      <c r="N1930" s="514"/>
      <c r="O1930" s="514"/>
    </row>
    <row r="1931" spans="3:15">
      <c r="C1931" s="505">
        <f>IF(D1878="","-",+C1930+1)</f>
        <v>2063</v>
      </c>
      <c r="D1931" s="469">
        <f t="shared" si="124"/>
        <v>0</v>
      </c>
      <c r="E1931" s="511">
        <f t="shared" si="125"/>
        <v>0</v>
      </c>
      <c r="F1931" s="469">
        <f t="shared" si="120"/>
        <v>0</v>
      </c>
      <c r="G1931" s="935">
        <f t="shared" si="121"/>
        <v>0</v>
      </c>
      <c r="H1931" s="938">
        <f t="shared" si="122"/>
        <v>0</v>
      </c>
      <c r="I1931" s="509">
        <f t="shared" si="123"/>
        <v>0</v>
      </c>
      <c r="J1931" s="509"/>
      <c r="K1931" s="640"/>
      <c r="L1931" s="514"/>
      <c r="M1931" s="640"/>
      <c r="N1931" s="514"/>
      <c r="O1931" s="514"/>
    </row>
    <row r="1932" spans="3:15">
      <c r="C1932" s="505">
        <f>IF(D1878="","-",+C1931+1)</f>
        <v>2064</v>
      </c>
      <c r="D1932" s="469">
        <f t="shared" si="124"/>
        <v>0</v>
      </c>
      <c r="E1932" s="511">
        <f t="shared" si="125"/>
        <v>0</v>
      </c>
      <c r="F1932" s="469">
        <f t="shared" si="120"/>
        <v>0</v>
      </c>
      <c r="G1932" s="935">
        <f t="shared" si="121"/>
        <v>0</v>
      </c>
      <c r="H1932" s="938">
        <f t="shared" si="122"/>
        <v>0</v>
      </c>
      <c r="I1932" s="509">
        <f t="shared" si="123"/>
        <v>0</v>
      </c>
      <c r="J1932" s="509"/>
      <c r="K1932" s="640"/>
      <c r="L1932" s="514"/>
      <c r="M1932" s="640"/>
      <c r="N1932" s="514"/>
      <c r="O1932" s="514"/>
    </row>
    <row r="1933" spans="3:15">
      <c r="C1933" s="505">
        <f>IF(D1878="","-",+C1932+1)</f>
        <v>2065</v>
      </c>
      <c r="D1933" s="469">
        <f t="shared" si="124"/>
        <v>0</v>
      </c>
      <c r="E1933" s="511">
        <f t="shared" si="125"/>
        <v>0</v>
      </c>
      <c r="F1933" s="469">
        <f t="shared" si="120"/>
        <v>0</v>
      </c>
      <c r="G1933" s="935">
        <f t="shared" si="121"/>
        <v>0</v>
      </c>
      <c r="H1933" s="938">
        <f t="shared" si="122"/>
        <v>0</v>
      </c>
      <c r="I1933" s="509">
        <f t="shared" si="123"/>
        <v>0</v>
      </c>
      <c r="J1933" s="509"/>
      <c r="K1933" s="640"/>
      <c r="L1933" s="514"/>
      <c r="M1933" s="640"/>
      <c r="N1933" s="514"/>
      <c r="O1933" s="514"/>
    </row>
    <row r="1934" spans="3:15">
      <c r="C1934" s="505">
        <f>IF(D1878="","-",+C1933+1)</f>
        <v>2066</v>
      </c>
      <c r="D1934" s="469">
        <f t="shared" si="124"/>
        <v>0</v>
      </c>
      <c r="E1934" s="511">
        <f t="shared" si="125"/>
        <v>0</v>
      </c>
      <c r="F1934" s="469">
        <f t="shared" si="120"/>
        <v>0</v>
      </c>
      <c r="G1934" s="935">
        <f t="shared" si="121"/>
        <v>0</v>
      </c>
      <c r="H1934" s="938">
        <f t="shared" si="122"/>
        <v>0</v>
      </c>
      <c r="I1934" s="509">
        <f t="shared" si="123"/>
        <v>0</v>
      </c>
      <c r="J1934" s="509"/>
      <c r="K1934" s="640"/>
      <c r="L1934" s="514"/>
      <c r="M1934" s="640"/>
      <c r="N1934" s="514"/>
      <c r="O1934" s="514"/>
    </row>
    <row r="1935" spans="3:15">
      <c r="C1935" s="505">
        <f>IF(D1878="","-",+C1934+1)</f>
        <v>2067</v>
      </c>
      <c r="D1935" s="469">
        <f t="shared" si="124"/>
        <v>0</v>
      </c>
      <c r="E1935" s="511">
        <f t="shared" si="125"/>
        <v>0</v>
      </c>
      <c r="F1935" s="469">
        <f t="shared" si="120"/>
        <v>0</v>
      </c>
      <c r="G1935" s="935">
        <f t="shared" si="121"/>
        <v>0</v>
      </c>
      <c r="H1935" s="938">
        <f t="shared" si="122"/>
        <v>0</v>
      </c>
      <c r="I1935" s="509">
        <f t="shared" si="123"/>
        <v>0</v>
      </c>
      <c r="J1935" s="509"/>
      <c r="K1935" s="640"/>
      <c r="L1935" s="514"/>
      <c r="M1935" s="640"/>
      <c r="N1935" s="514"/>
      <c r="O1935" s="514"/>
    </row>
    <row r="1936" spans="3:15">
      <c r="C1936" s="505">
        <f>IF(D1878="","-",+C1935+1)</f>
        <v>2068</v>
      </c>
      <c r="D1936" s="469">
        <f t="shared" si="124"/>
        <v>0</v>
      </c>
      <c r="E1936" s="511">
        <f t="shared" si="125"/>
        <v>0</v>
      </c>
      <c r="F1936" s="469">
        <f t="shared" si="120"/>
        <v>0</v>
      </c>
      <c r="G1936" s="935">
        <f t="shared" si="121"/>
        <v>0</v>
      </c>
      <c r="H1936" s="938">
        <f t="shared" si="122"/>
        <v>0</v>
      </c>
      <c r="I1936" s="509">
        <f t="shared" si="123"/>
        <v>0</v>
      </c>
      <c r="J1936" s="509"/>
      <c r="K1936" s="640"/>
      <c r="L1936" s="514"/>
      <c r="M1936" s="640"/>
      <c r="N1936" s="514"/>
      <c r="O1936" s="514"/>
    </row>
    <row r="1937" spans="3:15">
      <c r="C1937" s="505">
        <f>IF(D1878="","-",+C1936+1)</f>
        <v>2069</v>
      </c>
      <c r="D1937" s="469">
        <f t="shared" si="124"/>
        <v>0</v>
      </c>
      <c r="E1937" s="511">
        <f t="shared" si="125"/>
        <v>0</v>
      </c>
      <c r="F1937" s="469">
        <f t="shared" si="120"/>
        <v>0</v>
      </c>
      <c r="G1937" s="935">
        <f t="shared" si="121"/>
        <v>0</v>
      </c>
      <c r="H1937" s="938">
        <f t="shared" si="122"/>
        <v>0</v>
      </c>
      <c r="I1937" s="509">
        <f t="shared" si="123"/>
        <v>0</v>
      </c>
      <c r="J1937" s="509"/>
      <c r="K1937" s="640"/>
      <c r="L1937" s="514"/>
      <c r="M1937" s="640"/>
      <c r="N1937" s="514"/>
      <c r="O1937" s="514"/>
    </row>
    <row r="1938" spans="3:15">
      <c r="C1938" s="505">
        <f>IF(D1878="","-",+C1937+1)</f>
        <v>2070</v>
      </c>
      <c r="D1938" s="469">
        <f t="shared" si="124"/>
        <v>0</v>
      </c>
      <c r="E1938" s="511">
        <f t="shared" si="125"/>
        <v>0</v>
      </c>
      <c r="F1938" s="469">
        <f t="shared" si="120"/>
        <v>0</v>
      </c>
      <c r="G1938" s="935">
        <f t="shared" si="121"/>
        <v>0</v>
      </c>
      <c r="H1938" s="938">
        <f t="shared" si="122"/>
        <v>0</v>
      </c>
      <c r="I1938" s="509">
        <f t="shared" si="123"/>
        <v>0</v>
      </c>
      <c r="J1938" s="509"/>
      <c r="K1938" s="640"/>
      <c r="L1938" s="514"/>
      <c r="M1938" s="640"/>
      <c r="N1938" s="514"/>
      <c r="O1938" s="514"/>
    </row>
    <row r="1939" spans="3:15">
      <c r="C1939" s="505">
        <f>IF(D1878="","-",+C1938+1)</f>
        <v>2071</v>
      </c>
      <c r="D1939" s="469">
        <f t="shared" si="124"/>
        <v>0</v>
      </c>
      <c r="E1939" s="511">
        <f t="shared" si="125"/>
        <v>0</v>
      </c>
      <c r="F1939" s="469">
        <f t="shared" si="120"/>
        <v>0</v>
      </c>
      <c r="G1939" s="935">
        <f t="shared" si="121"/>
        <v>0</v>
      </c>
      <c r="H1939" s="938">
        <f t="shared" si="122"/>
        <v>0</v>
      </c>
      <c r="I1939" s="509">
        <f t="shared" si="123"/>
        <v>0</v>
      </c>
      <c r="J1939" s="509"/>
      <c r="K1939" s="640"/>
      <c r="L1939" s="514"/>
      <c r="M1939" s="640"/>
      <c r="N1939" s="514"/>
      <c r="O1939" s="514"/>
    </row>
    <row r="1940" spans="3:15">
      <c r="C1940" s="505">
        <f>IF(D1878="","-",+C1939+1)</f>
        <v>2072</v>
      </c>
      <c r="D1940" s="469">
        <f t="shared" si="124"/>
        <v>0</v>
      </c>
      <c r="E1940" s="511">
        <f t="shared" si="125"/>
        <v>0</v>
      </c>
      <c r="F1940" s="469">
        <f t="shared" si="120"/>
        <v>0</v>
      </c>
      <c r="G1940" s="935">
        <f t="shared" si="121"/>
        <v>0</v>
      </c>
      <c r="H1940" s="938">
        <f t="shared" si="122"/>
        <v>0</v>
      </c>
      <c r="I1940" s="509">
        <f t="shared" si="123"/>
        <v>0</v>
      </c>
      <c r="J1940" s="509"/>
      <c r="K1940" s="640"/>
      <c r="L1940" s="514"/>
      <c r="M1940" s="640"/>
      <c r="N1940" s="514"/>
      <c r="O1940" s="514"/>
    </row>
    <row r="1941" spans="3:15">
      <c r="C1941" s="505">
        <f>IF(D1878="","-",+C1940+1)</f>
        <v>2073</v>
      </c>
      <c r="D1941" s="469">
        <f t="shared" si="124"/>
        <v>0</v>
      </c>
      <c r="E1941" s="511">
        <f t="shared" si="125"/>
        <v>0</v>
      </c>
      <c r="F1941" s="469">
        <f t="shared" si="120"/>
        <v>0</v>
      </c>
      <c r="G1941" s="935">
        <f t="shared" si="121"/>
        <v>0</v>
      </c>
      <c r="H1941" s="938">
        <f t="shared" si="122"/>
        <v>0</v>
      </c>
      <c r="I1941" s="509">
        <f t="shared" si="123"/>
        <v>0</v>
      </c>
      <c r="J1941" s="509"/>
      <c r="K1941" s="640"/>
      <c r="L1941" s="514"/>
      <c r="M1941" s="640"/>
      <c r="N1941" s="514"/>
      <c r="O1941" s="514"/>
    </row>
    <row r="1942" spans="3:15">
      <c r="C1942" s="505">
        <f>IF(D1878="","-",+C1941+1)</f>
        <v>2074</v>
      </c>
      <c r="D1942" s="469">
        <f t="shared" si="124"/>
        <v>0</v>
      </c>
      <c r="E1942" s="511">
        <f t="shared" si="125"/>
        <v>0</v>
      </c>
      <c r="F1942" s="469">
        <f t="shared" si="120"/>
        <v>0</v>
      </c>
      <c r="G1942" s="935">
        <f t="shared" si="121"/>
        <v>0</v>
      </c>
      <c r="H1942" s="938">
        <f t="shared" si="122"/>
        <v>0</v>
      </c>
      <c r="I1942" s="509">
        <f t="shared" si="123"/>
        <v>0</v>
      </c>
      <c r="J1942" s="509"/>
      <c r="K1942" s="640"/>
      <c r="L1942" s="514"/>
      <c r="M1942" s="640"/>
      <c r="N1942" s="514"/>
      <c r="O1942" s="514"/>
    </row>
    <row r="1943" spans="3:15" ht="13.5" thickBot="1">
      <c r="C1943" s="515">
        <f>IF(D1878="","-",+C1942+1)</f>
        <v>2075</v>
      </c>
      <c r="D1943" s="516">
        <f t="shared" si="124"/>
        <v>0</v>
      </c>
      <c r="E1943" s="517">
        <f t="shared" si="125"/>
        <v>0</v>
      </c>
      <c r="F1943" s="516">
        <f t="shared" si="120"/>
        <v>0</v>
      </c>
      <c r="G1943" s="946">
        <f t="shared" si="121"/>
        <v>0</v>
      </c>
      <c r="H1943" s="946">
        <f t="shared" si="122"/>
        <v>0</v>
      </c>
      <c r="I1943" s="519">
        <f t="shared" si="123"/>
        <v>0</v>
      </c>
      <c r="J1943" s="509"/>
      <c r="K1943" s="641"/>
      <c r="L1943" s="521"/>
      <c r="M1943" s="641"/>
      <c r="N1943" s="521"/>
      <c r="O1943" s="521"/>
    </row>
    <row r="1944" spans="3:15">
      <c r="C1944" s="469" t="s">
        <v>288</v>
      </c>
      <c r="D1944" s="915"/>
      <c r="E1944" s="469"/>
      <c r="F1944" s="915"/>
      <c r="G1944" s="915">
        <f>SUM(G1884:G1943)</f>
        <v>1022337.8520889279</v>
      </c>
      <c r="H1944" s="915">
        <f>SUM(H1884:H1943)</f>
        <v>1022337.8520889279</v>
      </c>
      <c r="I1944" s="915">
        <f>SUM(I1884:I1943)</f>
        <v>0</v>
      </c>
      <c r="J1944" s="915"/>
      <c r="K1944" s="915"/>
      <c r="L1944" s="915"/>
      <c r="M1944" s="915"/>
      <c r="N1944" s="915"/>
      <c r="O1944" s="4"/>
    </row>
    <row r="1945" spans="3:15">
      <c r="D1945" s="79"/>
      <c r="E1945" s="4"/>
      <c r="F1945" s="4"/>
      <c r="G1945" s="4"/>
      <c r="H1945" s="914"/>
      <c r="I1945" s="914"/>
      <c r="J1945" s="915"/>
      <c r="K1945" s="914"/>
      <c r="L1945" s="914"/>
      <c r="M1945" s="914"/>
      <c r="N1945" s="914"/>
      <c r="O1945" s="4"/>
    </row>
    <row r="1946" spans="3:15">
      <c r="C1946" s="4" t="s">
        <v>595</v>
      </c>
      <c r="D1946" s="79"/>
      <c r="E1946" s="4"/>
      <c r="F1946" s="4"/>
      <c r="G1946" s="4"/>
      <c r="H1946" s="914"/>
      <c r="I1946" s="914"/>
      <c r="J1946" s="915"/>
      <c r="K1946" s="914"/>
      <c r="L1946" s="914"/>
      <c r="M1946" s="914"/>
      <c r="N1946" s="914"/>
      <c r="O1946" s="4"/>
    </row>
    <row r="1947" spans="3:15">
      <c r="C1947" s="4"/>
      <c r="D1947" s="79"/>
      <c r="E1947" s="4"/>
      <c r="F1947" s="4"/>
      <c r="G1947" s="4"/>
      <c r="H1947" s="914"/>
      <c r="I1947" s="914"/>
      <c r="J1947" s="915"/>
      <c r="K1947" s="914"/>
      <c r="L1947" s="914"/>
      <c r="M1947" s="914"/>
      <c r="N1947" s="914"/>
      <c r="O1947" s="4"/>
    </row>
    <row r="1948" spans="3:15">
      <c r="C1948" s="479" t="s">
        <v>924</v>
      </c>
      <c r="D1948" s="469"/>
      <c r="E1948" s="469"/>
      <c r="F1948" s="469"/>
      <c r="G1948" s="915"/>
      <c r="H1948" s="915"/>
      <c r="I1948" s="471"/>
      <c r="J1948" s="471"/>
      <c r="K1948" s="471"/>
      <c r="L1948" s="471"/>
      <c r="M1948" s="471"/>
      <c r="N1948" s="471"/>
      <c r="O1948" s="4"/>
    </row>
    <row r="1949" spans="3:15">
      <c r="C1949" s="479" t="s">
        <v>476</v>
      </c>
      <c r="D1949" s="469"/>
      <c r="E1949" s="469"/>
      <c r="F1949" s="469"/>
      <c r="G1949" s="915"/>
      <c r="H1949" s="915"/>
      <c r="I1949" s="471"/>
      <c r="J1949" s="471"/>
      <c r="K1949" s="471"/>
      <c r="L1949" s="471"/>
      <c r="M1949" s="471"/>
      <c r="N1949" s="471"/>
      <c r="O1949" s="4"/>
    </row>
    <row r="1950" spans="3:15">
      <c r="C1950" s="470" t="s">
        <v>289</v>
      </c>
      <c r="D1950" s="469"/>
      <c r="E1950" s="469"/>
      <c r="F1950" s="469"/>
      <c r="G1950" s="915"/>
      <c r="H1950" s="915"/>
      <c r="I1950" s="471"/>
      <c r="J1950" s="471"/>
      <c r="K1950" s="471"/>
      <c r="L1950" s="471"/>
      <c r="M1950" s="471"/>
      <c r="N1950" s="471"/>
      <c r="O1950" s="4"/>
    </row>
    <row r="1951" spans="3:15">
      <c r="C1951" s="470"/>
      <c r="D1951" s="469"/>
      <c r="E1951" s="469"/>
      <c r="F1951" s="469"/>
      <c r="G1951" s="915"/>
      <c r="H1951" s="915"/>
      <c r="I1951" s="471"/>
      <c r="J1951" s="471"/>
      <c r="K1951" s="471"/>
      <c r="L1951" s="471"/>
      <c r="M1951" s="471"/>
      <c r="N1951" s="471"/>
      <c r="O1951" s="4"/>
    </row>
    <row r="1952" spans="3:15">
      <c r="C1952" s="1275" t="s">
        <v>460</v>
      </c>
      <c r="D1952" s="1275"/>
      <c r="E1952" s="1275"/>
      <c r="F1952" s="1275"/>
      <c r="G1952" s="1275"/>
      <c r="H1952" s="1275"/>
      <c r="I1952" s="1275"/>
      <c r="J1952" s="1275"/>
      <c r="K1952" s="1275"/>
      <c r="L1952" s="1275"/>
      <c r="M1952" s="1275"/>
      <c r="N1952" s="1275"/>
      <c r="O1952" s="1275"/>
    </row>
    <row r="1953" spans="1:16">
      <c r="C1953" s="1275"/>
      <c r="D1953" s="1275"/>
      <c r="E1953" s="1275"/>
      <c r="F1953" s="1275"/>
      <c r="G1953" s="1275"/>
      <c r="H1953" s="1275"/>
      <c r="I1953" s="1275"/>
      <c r="J1953" s="1275"/>
      <c r="K1953" s="1275"/>
      <c r="L1953" s="1275"/>
      <c r="M1953" s="1275"/>
      <c r="N1953" s="1275"/>
      <c r="O1953" s="1275"/>
    </row>
    <row r="1954" spans="1:16" ht="20.25">
      <c r="A1954" s="411" t="s">
        <v>921</v>
      </c>
      <c r="B1954" s="4"/>
      <c r="C1954" s="4"/>
      <c r="D1954" s="79"/>
      <c r="E1954" s="4"/>
      <c r="F1954" s="81"/>
      <c r="G1954" s="4"/>
      <c r="H1954" s="914"/>
      <c r="K1954" s="11"/>
      <c r="L1954" s="11"/>
      <c r="M1954" s="11"/>
      <c r="N1954" s="11" t="str">
        <f>"Page "&amp;SUM(P$6:P1954)&amp;" of "</f>
        <v xml:space="preserve">Page 22 of </v>
      </c>
      <c r="O1954" s="412">
        <f>COUNT(P$6:P$59579)</f>
        <v>22</v>
      </c>
      <c r="P1954" s="4">
        <v>1</v>
      </c>
    </row>
    <row r="1955" spans="1:16">
      <c r="B1955" s="4"/>
      <c r="C1955" s="4"/>
      <c r="D1955" s="79"/>
      <c r="E1955" s="4"/>
      <c r="F1955" s="4"/>
      <c r="G1955" s="4"/>
      <c r="H1955" s="914"/>
      <c r="I1955" s="4"/>
      <c r="J1955" s="4"/>
      <c r="K1955" s="4"/>
      <c r="L1955" s="4"/>
      <c r="M1955" s="4"/>
      <c r="N1955" s="4"/>
      <c r="O1955" s="4"/>
    </row>
    <row r="1956" spans="1:16" ht="18">
      <c r="B1956" s="413" t="s">
        <v>174</v>
      </c>
      <c r="C1956" s="472" t="s">
        <v>290</v>
      </c>
      <c r="D1956" s="79"/>
      <c r="E1956" s="4"/>
      <c r="F1956" s="4"/>
      <c r="G1956" s="4"/>
      <c r="H1956" s="914"/>
      <c r="I1956" s="914"/>
      <c r="J1956" s="915"/>
      <c r="K1956" s="914"/>
      <c r="L1956" s="914"/>
      <c r="M1956" s="914"/>
      <c r="N1956" s="914"/>
      <c r="O1956" s="4"/>
    </row>
    <row r="1957" spans="1:16" ht="18.75">
      <c r="B1957" s="413"/>
      <c r="C1957" s="13"/>
      <c r="D1957" s="79"/>
      <c r="E1957" s="4"/>
      <c r="F1957" s="4"/>
      <c r="G1957" s="4"/>
      <c r="H1957" s="914"/>
      <c r="I1957" s="914"/>
      <c r="J1957" s="915"/>
      <c r="K1957" s="914"/>
      <c r="L1957" s="914"/>
      <c r="M1957" s="914"/>
      <c r="N1957" s="914"/>
      <c r="O1957" s="4"/>
    </row>
    <row r="1958" spans="1:16" ht="18.75">
      <c r="B1958" s="413"/>
      <c r="C1958" s="13" t="s">
        <v>291</v>
      </c>
      <c r="D1958" s="79"/>
      <c r="E1958" s="4"/>
      <c r="F1958" s="4"/>
      <c r="G1958" s="4"/>
      <c r="H1958" s="914"/>
      <c r="I1958" s="914"/>
      <c r="J1958" s="915"/>
      <c r="K1958" s="914"/>
      <c r="L1958" s="914"/>
      <c r="M1958" s="914"/>
      <c r="N1958" s="914"/>
      <c r="O1958" s="4"/>
    </row>
    <row r="1959" spans="1:16" ht="15.75" thickBot="1">
      <c r="C1959" s="247"/>
      <c r="D1959" s="79"/>
      <c r="E1959" s="4"/>
      <c r="F1959" s="4"/>
      <c r="G1959" s="4"/>
      <c r="H1959" s="914"/>
      <c r="I1959" s="914"/>
      <c r="J1959" s="915"/>
      <c r="K1959" s="914"/>
      <c r="L1959" s="914"/>
      <c r="M1959" s="914"/>
      <c r="N1959" s="914"/>
      <c r="O1959" s="4"/>
    </row>
    <row r="1960" spans="1:16" ht="15.75">
      <c r="C1960" s="414" t="s">
        <v>292</v>
      </c>
      <c r="D1960" s="79"/>
      <c r="E1960" s="4"/>
      <c r="F1960" s="4"/>
      <c r="G1960" s="948"/>
      <c r="H1960" s="4" t="s">
        <v>271</v>
      </c>
      <c r="I1960" s="4"/>
      <c r="J1960" s="4"/>
      <c r="K1960" s="473" t="s">
        <v>296</v>
      </c>
      <c r="L1960" s="474"/>
      <c r="M1960" s="475"/>
      <c r="N1960" s="917">
        <f>VLOOKUP(I1966,C1973:O2032,5)</f>
        <v>1380.5928700516897</v>
      </c>
      <c r="O1960" s="4"/>
    </row>
    <row r="1961" spans="1:16" ht="15.75">
      <c r="C1961" s="414"/>
      <c r="D1961" s="79"/>
      <c r="E1961" s="4"/>
      <c r="F1961" s="4"/>
      <c r="G1961" s="4"/>
      <c r="H1961" s="918"/>
      <c r="I1961" s="918"/>
      <c r="J1961" s="919"/>
      <c r="K1961" s="478" t="s">
        <v>297</v>
      </c>
      <c r="L1961" s="920"/>
      <c r="M1961" s="4"/>
      <c r="N1961" s="921">
        <f>VLOOKUP(I1966,C1973:O2032,6)</f>
        <v>1380.5928700516897</v>
      </c>
      <c r="O1961" s="4"/>
    </row>
    <row r="1962" spans="1:16" ht="15.75" thickBot="1">
      <c r="C1962" s="479" t="s">
        <v>293</v>
      </c>
      <c r="D1962" s="962" t="s">
        <v>945</v>
      </c>
      <c r="E1962" s="962"/>
      <c r="F1962" s="962"/>
      <c r="G1962" s="962"/>
      <c r="H1962" s="918"/>
      <c r="I1962" s="918"/>
      <c r="J1962" s="915"/>
      <c r="K1962" s="922" t="s">
        <v>450</v>
      </c>
      <c r="L1962" s="923"/>
      <c r="M1962" s="923"/>
      <c r="N1962" s="924">
        <f>+N1961-N1960</f>
        <v>0</v>
      </c>
      <c r="O1962" s="4"/>
    </row>
    <row r="1963" spans="1:16">
      <c r="C1963" s="481"/>
      <c r="D1963" s="482"/>
      <c r="E1963" s="469"/>
      <c r="F1963" s="469"/>
      <c r="G1963" s="483"/>
      <c r="H1963" s="914"/>
      <c r="I1963" s="914"/>
      <c r="J1963" s="915"/>
      <c r="K1963" s="914"/>
      <c r="L1963" s="914"/>
      <c r="M1963" s="914"/>
      <c r="N1963" s="914"/>
      <c r="O1963" s="4"/>
    </row>
    <row r="1964" spans="1:16" ht="13.5" thickBot="1">
      <c r="C1964" s="481"/>
      <c r="D1964" s="925"/>
      <c r="E1964" s="483"/>
      <c r="F1964" s="483"/>
      <c r="G1964" s="483"/>
      <c r="H1964" s="483"/>
      <c r="I1964" s="483"/>
      <c r="J1964" s="483"/>
      <c r="K1964" s="483"/>
      <c r="L1964" s="483"/>
      <c r="M1964" s="483"/>
      <c r="N1964" s="483"/>
      <c r="O1964" s="4"/>
    </row>
    <row r="1965" spans="1:16" ht="13.5" thickBot="1">
      <c r="C1965" s="484" t="s">
        <v>294</v>
      </c>
      <c r="D1965" s="485"/>
      <c r="E1965" s="485"/>
      <c r="F1965" s="485"/>
      <c r="G1965" s="485"/>
      <c r="H1965" s="485"/>
      <c r="I1965" s="486"/>
      <c r="K1965" s="4"/>
      <c r="L1965" s="4"/>
      <c r="M1965" s="4"/>
      <c r="N1965" s="4"/>
      <c r="O1965" s="4"/>
    </row>
    <row r="1966" spans="1:16" ht="15">
      <c r="C1966" s="487" t="s">
        <v>272</v>
      </c>
      <c r="D1966" s="926">
        <v>8640</v>
      </c>
      <c r="E1966" s="4" t="s">
        <v>273</v>
      </c>
      <c r="G1966" s="79"/>
      <c r="H1966" s="79"/>
      <c r="I1966" s="488">
        <v>2018</v>
      </c>
      <c r="J1966" s="135"/>
      <c r="K1966" s="1277" t="s">
        <v>459</v>
      </c>
      <c r="L1966" s="1277"/>
      <c r="M1966" s="1277"/>
      <c r="N1966" s="1277"/>
      <c r="O1966" s="1277"/>
    </row>
    <row r="1967" spans="1:16">
      <c r="C1967" s="487" t="s">
        <v>275</v>
      </c>
      <c r="D1967" s="636">
        <v>2014</v>
      </c>
      <c r="E1967" s="487" t="s">
        <v>276</v>
      </c>
      <c r="F1967" s="79"/>
      <c r="H1967"/>
      <c r="I1967" s="927">
        <f>IF(G1960="",0,$F$15)</f>
        <v>0</v>
      </c>
      <c r="J1967" s="489"/>
      <c r="K1967" s="915" t="s">
        <v>459</v>
      </c>
    </row>
    <row r="1968" spans="1:16">
      <c r="C1968" s="487" t="s">
        <v>277</v>
      </c>
      <c r="D1968" s="926">
        <v>7</v>
      </c>
      <c r="E1968" s="487" t="s">
        <v>278</v>
      </c>
      <c r="F1968" s="79"/>
      <c r="H1968"/>
      <c r="I1968" s="490">
        <f>$G$70</f>
        <v>0.14996626714737105</v>
      </c>
      <c r="J1968" s="81"/>
      <c r="K1968" t="str">
        <f>"          INPUT PROJECTED ARR (WITH &amp; WITHOUT INCENTIVES) FROM EACH PRIOR YEAR"</f>
        <v xml:space="preserve">          INPUT PROJECTED ARR (WITH &amp; WITHOUT INCENTIVES) FROM EACH PRIOR YEAR</v>
      </c>
    </row>
    <row r="1969" spans="1:15">
      <c r="C1969" s="487" t="s">
        <v>279</v>
      </c>
      <c r="D1969" s="491">
        <f>G$79</f>
        <v>42</v>
      </c>
      <c r="E1969" s="487" t="s">
        <v>280</v>
      </c>
      <c r="F1969" s="79"/>
      <c r="H1969"/>
      <c r="I1969" s="490">
        <f>IF(G1960="",I1968,$G$67)</f>
        <v>0.14996626714737105</v>
      </c>
      <c r="J1969" s="81"/>
      <c r="K1969" t="s">
        <v>357</v>
      </c>
    </row>
    <row r="1970" spans="1:15" ht="13.5" thickBot="1">
      <c r="C1970" s="487" t="s">
        <v>281</v>
      </c>
      <c r="D1970" s="637" t="s">
        <v>923</v>
      </c>
      <c r="E1970" s="492" t="s">
        <v>282</v>
      </c>
      <c r="F1970" s="493"/>
      <c r="G1970" s="494"/>
      <c r="H1970" s="494"/>
      <c r="I1970" s="924">
        <f>IF(D1966=0,0,D1966/D1969)</f>
        <v>205.71428571428572</v>
      </c>
      <c r="J1970" s="915"/>
      <c r="K1970" s="915" t="s">
        <v>363</v>
      </c>
      <c r="L1970" s="915"/>
      <c r="M1970" s="915"/>
      <c r="N1970" s="915"/>
      <c r="O1970" s="4"/>
    </row>
    <row r="1971" spans="1:15" ht="51">
      <c r="A1971" s="12"/>
      <c r="B1971" s="12"/>
      <c r="C1971" s="495" t="s">
        <v>272</v>
      </c>
      <c r="D1971" s="928" t="s">
        <v>283</v>
      </c>
      <c r="E1971" s="929" t="s">
        <v>284</v>
      </c>
      <c r="F1971" s="928" t="s">
        <v>285</v>
      </c>
      <c r="G1971" s="929" t="s">
        <v>356</v>
      </c>
      <c r="H1971" s="930" t="s">
        <v>356</v>
      </c>
      <c r="I1971" s="495" t="s">
        <v>295</v>
      </c>
      <c r="J1971" s="499"/>
      <c r="K1971" s="929" t="s">
        <v>365</v>
      </c>
      <c r="L1971" s="931"/>
      <c r="M1971" s="929" t="s">
        <v>365</v>
      </c>
      <c r="N1971" s="931"/>
      <c r="O1971" s="931"/>
    </row>
    <row r="1972" spans="1:15" ht="13.5" thickBot="1">
      <c r="C1972" s="500" t="s">
        <v>177</v>
      </c>
      <c r="D1972" s="501" t="s">
        <v>178</v>
      </c>
      <c r="E1972" s="500" t="s">
        <v>37</v>
      </c>
      <c r="F1972" s="501" t="s">
        <v>178</v>
      </c>
      <c r="G1972" s="932" t="s">
        <v>298</v>
      </c>
      <c r="H1972" s="933" t="s">
        <v>300</v>
      </c>
      <c r="I1972" s="500" t="s">
        <v>389</v>
      </c>
      <c r="J1972" s="504"/>
      <c r="K1972" s="932" t="s">
        <v>287</v>
      </c>
      <c r="L1972" s="934"/>
      <c r="M1972" s="932" t="s">
        <v>300</v>
      </c>
      <c r="N1972" s="934"/>
      <c r="O1972" s="934"/>
    </row>
    <row r="1973" spans="1:15">
      <c r="C1973" s="505">
        <f>IF(D1967= "","-",D1967)</f>
        <v>2014</v>
      </c>
      <c r="D1973" s="469">
        <f>+D1966</f>
        <v>8640</v>
      </c>
      <c r="E1973" s="935">
        <f>+I1970/12*(12-D1968)</f>
        <v>85.714285714285708</v>
      </c>
      <c r="F1973" s="469">
        <f t="shared" ref="F1973:F2032" si="126">+D1973-E1973</f>
        <v>8554.2857142857138</v>
      </c>
      <c r="G1973" s="960">
        <f>+$I$1879*((D1973+F1973)/2)+E1973</f>
        <v>1374.9957081326843</v>
      </c>
      <c r="H1973" s="961">
        <f>$I$1880*((D1973+F1973)/2)+E1973</f>
        <v>1374.9957081326843</v>
      </c>
      <c r="I1973" s="509">
        <f>+H1973-G1973</f>
        <v>0</v>
      </c>
      <c r="J1973" s="509"/>
      <c r="K1973" s="639">
        <v>0</v>
      </c>
      <c r="L1973" s="510"/>
      <c r="M1973" s="639">
        <v>0</v>
      </c>
      <c r="N1973" s="510"/>
      <c r="O1973" s="510"/>
    </row>
    <row r="1974" spans="1:15">
      <c r="C1974" s="505">
        <f>IF(D1967="","-",+C1973+1)</f>
        <v>2015</v>
      </c>
      <c r="D1974" s="469">
        <f>F1973</f>
        <v>8554.2857142857138</v>
      </c>
      <c r="E1974" s="511">
        <f>IF(D1974&gt;$I$1970,$I$1970,D1974)</f>
        <v>205.71428571428572</v>
      </c>
      <c r="F1974" s="469">
        <f t="shared" si="126"/>
        <v>8348.5714285714275</v>
      </c>
      <c r="G1974" s="935">
        <f t="shared" ref="G1974:G2032" si="127">+$I$1879*((D1974+F1974)/2)+E1974</f>
        <v>1473.1434806340671</v>
      </c>
      <c r="H1974" s="938">
        <f t="shared" ref="H1974:H2032" si="128">$I$1880*((D1974+F1974)/2)+E1974</f>
        <v>1473.1434806340671</v>
      </c>
      <c r="I1974" s="509">
        <f t="shared" ref="I1974:I2032" si="129">+H1974-G1974</f>
        <v>0</v>
      </c>
      <c r="J1974" s="509"/>
      <c r="K1974" s="640">
        <v>0</v>
      </c>
      <c r="L1974" s="514"/>
      <c r="M1974" s="640">
        <v>0</v>
      </c>
      <c r="N1974" s="514"/>
      <c r="O1974" s="514"/>
    </row>
    <row r="1975" spans="1:15">
      <c r="C1975" s="963">
        <f>IF(D1967="","-",+C1974+1)</f>
        <v>2016</v>
      </c>
      <c r="D1975" s="941">
        <f t="shared" ref="D1975:D2032" si="130">F1974</f>
        <v>8348.5714285714275</v>
      </c>
      <c r="E1975" s="511">
        <f t="shared" ref="E1975:E2031" si="131">IF(D1975&gt;$I$1970,$I$1970,D1975)</f>
        <v>205.71428571428572</v>
      </c>
      <c r="F1975" s="941">
        <f t="shared" si="126"/>
        <v>8142.8571428571422</v>
      </c>
      <c r="G1975" s="943">
        <f t="shared" si="127"/>
        <v>1442.293277106608</v>
      </c>
      <c r="H1975" s="944">
        <f t="shared" si="128"/>
        <v>1442.293277106608</v>
      </c>
      <c r="I1975" s="945">
        <f t="shared" si="129"/>
        <v>0</v>
      </c>
      <c r="J1975" s="509"/>
      <c r="K1975" s="640"/>
      <c r="L1975" s="514"/>
      <c r="M1975" s="640"/>
      <c r="N1975" s="514"/>
      <c r="O1975" s="514"/>
    </row>
    <row r="1976" spans="1:15">
      <c r="C1976" s="505">
        <f>IF(D1967="","-",+C1975+1)</f>
        <v>2017</v>
      </c>
      <c r="D1976" s="469">
        <f t="shared" si="130"/>
        <v>8142.8571428571422</v>
      </c>
      <c r="E1976" s="511">
        <f t="shared" si="131"/>
        <v>205.71428571428572</v>
      </c>
      <c r="F1976" s="469">
        <f t="shared" si="126"/>
        <v>7937.1428571428569</v>
      </c>
      <c r="G1976" s="935">
        <f t="shared" si="127"/>
        <v>1411.4430735791491</v>
      </c>
      <c r="H1976" s="938">
        <f t="shared" si="128"/>
        <v>1411.4430735791491</v>
      </c>
      <c r="I1976" s="509">
        <f t="shared" si="129"/>
        <v>0</v>
      </c>
      <c r="J1976" s="509"/>
      <c r="K1976" s="640"/>
      <c r="L1976" s="514"/>
      <c r="M1976" s="640"/>
      <c r="N1976" s="514"/>
      <c r="O1976" s="514"/>
    </row>
    <row r="1977" spans="1:15">
      <c r="C1977" s="505">
        <f>IF(D1967="","-",+C1976+1)</f>
        <v>2018</v>
      </c>
      <c r="D1977" s="469">
        <f t="shared" si="130"/>
        <v>7937.1428571428569</v>
      </c>
      <c r="E1977" s="511">
        <f t="shared" si="131"/>
        <v>205.71428571428572</v>
      </c>
      <c r="F1977" s="469">
        <f t="shared" si="126"/>
        <v>7731.4285714285716</v>
      </c>
      <c r="G1977" s="935">
        <f t="shared" si="127"/>
        <v>1380.5928700516897</v>
      </c>
      <c r="H1977" s="938">
        <f t="shared" si="128"/>
        <v>1380.5928700516897</v>
      </c>
      <c r="I1977" s="509">
        <f t="shared" si="129"/>
        <v>0</v>
      </c>
      <c r="J1977" s="509"/>
      <c r="K1977" s="640"/>
      <c r="L1977" s="514"/>
      <c r="M1977" s="640"/>
      <c r="N1977" s="514"/>
      <c r="O1977" s="514"/>
    </row>
    <row r="1978" spans="1:15">
      <c r="C1978" s="505">
        <f>IF(D1967="","-",+C1977+1)</f>
        <v>2019</v>
      </c>
      <c r="D1978" s="469">
        <f t="shared" si="130"/>
        <v>7731.4285714285716</v>
      </c>
      <c r="E1978" s="511">
        <f t="shared" si="131"/>
        <v>205.71428571428572</v>
      </c>
      <c r="F1978" s="469">
        <f t="shared" si="126"/>
        <v>7525.7142857142862</v>
      </c>
      <c r="G1978" s="935">
        <f t="shared" si="127"/>
        <v>1349.7426665242308</v>
      </c>
      <c r="H1978" s="938">
        <f t="shared" si="128"/>
        <v>1349.7426665242308</v>
      </c>
      <c r="I1978" s="509">
        <f t="shared" si="129"/>
        <v>0</v>
      </c>
      <c r="J1978" s="509"/>
      <c r="K1978" s="640"/>
      <c r="L1978" s="514"/>
      <c r="M1978" s="640"/>
      <c r="N1978" s="514"/>
      <c r="O1978" s="514"/>
    </row>
    <row r="1979" spans="1:15">
      <c r="C1979" s="505">
        <f>IF(D1967="","-",+C1978+1)</f>
        <v>2020</v>
      </c>
      <c r="D1979" s="469">
        <f t="shared" si="130"/>
        <v>7525.7142857142862</v>
      </c>
      <c r="E1979" s="511">
        <f t="shared" si="131"/>
        <v>205.71428571428572</v>
      </c>
      <c r="F1979" s="469">
        <f t="shared" si="126"/>
        <v>7320.0000000000009</v>
      </c>
      <c r="G1979" s="935">
        <f t="shared" si="127"/>
        <v>1318.8924629967714</v>
      </c>
      <c r="H1979" s="938">
        <f t="shared" si="128"/>
        <v>1318.8924629967714</v>
      </c>
      <c r="I1979" s="509">
        <f t="shared" si="129"/>
        <v>0</v>
      </c>
      <c r="J1979" s="509"/>
      <c r="K1979" s="640"/>
      <c r="L1979" s="514"/>
      <c r="M1979" s="640"/>
      <c r="N1979" s="514"/>
      <c r="O1979" s="514"/>
    </row>
    <row r="1980" spans="1:15">
      <c r="C1980" s="505">
        <f>IF(D1967="","-",+C1979+1)</f>
        <v>2021</v>
      </c>
      <c r="D1980" s="469">
        <f t="shared" si="130"/>
        <v>7320.0000000000009</v>
      </c>
      <c r="E1980" s="511">
        <f t="shared" si="131"/>
        <v>205.71428571428572</v>
      </c>
      <c r="F1980" s="469">
        <f t="shared" si="126"/>
        <v>7114.2857142857156</v>
      </c>
      <c r="G1980" s="935">
        <f t="shared" si="127"/>
        <v>1288.0422594693125</v>
      </c>
      <c r="H1980" s="938">
        <f t="shared" si="128"/>
        <v>1288.0422594693125</v>
      </c>
      <c r="I1980" s="509">
        <f t="shared" si="129"/>
        <v>0</v>
      </c>
      <c r="J1980" s="509"/>
      <c r="K1980" s="640"/>
      <c r="L1980" s="514"/>
      <c r="M1980" s="640"/>
      <c r="N1980" s="514"/>
      <c r="O1980" s="514"/>
    </row>
    <row r="1981" spans="1:15">
      <c r="C1981" s="505">
        <f>IF(D1967="","-",+C1980+1)</f>
        <v>2022</v>
      </c>
      <c r="D1981" s="469">
        <f t="shared" si="130"/>
        <v>7114.2857142857156</v>
      </c>
      <c r="E1981" s="511">
        <f t="shared" si="131"/>
        <v>205.71428571428572</v>
      </c>
      <c r="F1981" s="469">
        <f t="shared" si="126"/>
        <v>6908.5714285714303</v>
      </c>
      <c r="G1981" s="935">
        <f t="shared" si="127"/>
        <v>1257.1920559418531</v>
      </c>
      <c r="H1981" s="938">
        <f t="shared" si="128"/>
        <v>1257.1920559418531</v>
      </c>
      <c r="I1981" s="509">
        <f t="shared" si="129"/>
        <v>0</v>
      </c>
      <c r="J1981" s="509"/>
      <c r="K1981" s="640"/>
      <c r="L1981" s="514"/>
      <c r="M1981" s="640"/>
      <c r="N1981" s="514"/>
      <c r="O1981" s="514"/>
    </row>
    <row r="1982" spans="1:15">
      <c r="C1982" s="505">
        <f>IF(D1967="","-",+C1981+1)</f>
        <v>2023</v>
      </c>
      <c r="D1982" s="469">
        <f t="shared" si="130"/>
        <v>6908.5714285714303</v>
      </c>
      <c r="E1982" s="511">
        <f t="shared" si="131"/>
        <v>205.71428571428572</v>
      </c>
      <c r="F1982" s="469">
        <f t="shared" si="126"/>
        <v>6702.8571428571449</v>
      </c>
      <c r="G1982" s="935">
        <f t="shared" si="127"/>
        <v>1226.3418524143942</v>
      </c>
      <c r="H1982" s="938">
        <f t="shared" si="128"/>
        <v>1226.3418524143942</v>
      </c>
      <c r="I1982" s="509">
        <f t="shared" si="129"/>
        <v>0</v>
      </c>
      <c r="J1982" s="509"/>
      <c r="K1982" s="640"/>
      <c r="L1982" s="514"/>
      <c r="M1982" s="640"/>
      <c r="N1982" s="514"/>
      <c r="O1982" s="514"/>
    </row>
    <row r="1983" spans="1:15">
      <c r="C1983" s="505">
        <f>IF(D1967="","-",+C1982+1)</f>
        <v>2024</v>
      </c>
      <c r="D1983" s="469">
        <f t="shared" si="130"/>
        <v>6702.8571428571449</v>
      </c>
      <c r="E1983" s="511">
        <f t="shared" si="131"/>
        <v>205.71428571428572</v>
      </c>
      <c r="F1983" s="469">
        <f t="shared" si="126"/>
        <v>6497.1428571428596</v>
      </c>
      <c r="G1983" s="935">
        <f t="shared" si="127"/>
        <v>1195.4916488869349</v>
      </c>
      <c r="H1983" s="938">
        <f t="shared" si="128"/>
        <v>1195.4916488869349</v>
      </c>
      <c r="I1983" s="509">
        <f t="shared" si="129"/>
        <v>0</v>
      </c>
      <c r="J1983" s="509"/>
      <c r="K1983" s="640"/>
      <c r="L1983" s="514"/>
      <c r="M1983" s="640"/>
      <c r="N1983" s="514"/>
      <c r="O1983" s="514"/>
    </row>
    <row r="1984" spans="1:15">
      <c r="C1984" s="505">
        <f>IF(D1967="","-",+C1983+1)</f>
        <v>2025</v>
      </c>
      <c r="D1984" s="469">
        <f t="shared" si="130"/>
        <v>6497.1428571428596</v>
      </c>
      <c r="E1984" s="511">
        <f t="shared" si="131"/>
        <v>205.71428571428572</v>
      </c>
      <c r="F1984" s="469">
        <f t="shared" si="126"/>
        <v>6291.4285714285743</v>
      </c>
      <c r="G1984" s="935">
        <f t="shared" si="127"/>
        <v>1164.6414453594759</v>
      </c>
      <c r="H1984" s="938">
        <f t="shared" si="128"/>
        <v>1164.6414453594759</v>
      </c>
      <c r="I1984" s="509">
        <f t="shared" si="129"/>
        <v>0</v>
      </c>
      <c r="J1984" s="509"/>
      <c r="K1984" s="640"/>
      <c r="L1984" s="514"/>
      <c r="M1984" s="640"/>
      <c r="N1984" s="514"/>
      <c r="O1984" s="514"/>
    </row>
    <row r="1985" spans="3:15">
      <c r="C1985" s="505">
        <f>IF(D1967="","-",+C1984+1)</f>
        <v>2026</v>
      </c>
      <c r="D1985" s="469">
        <f t="shared" si="130"/>
        <v>6291.4285714285743</v>
      </c>
      <c r="E1985" s="511">
        <f t="shared" si="131"/>
        <v>205.71428571428572</v>
      </c>
      <c r="F1985" s="469">
        <f t="shared" si="126"/>
        <v>6085.714285714289</v>
      </c>
      <c r="G1985" s="935">
        <f t="shared" si="127"/>
        <v>1133.7912418320166</v>
      </c>
      <c r="H1985" s="938">
        <f t="shared" si="128"/>
        <v>1133.7912418320166</v>
      </c>
      <c r="I1985" s="509">
        <f t="shared" si="129"/>
        <v>0</v>
      </c>
      <c r="J1985" s="509"/>
      <c r="K1985" s="640"/>
      <c r="L1985" s="514"/>
      <c r="M1985" s="640"/>
      <c r="N1985" s="514"/>
      <c r="O1985" s="514"/>
    </row>
    <row r="1986" spans="3:15">
      <c r="C1986" s="505">
        <f>IF(D1967="","-",+C1985+1)</f>
        <v>2027</v>
      </c>
      <c r="D1986" s="469">
        <f t="shared" si="130"/>
        <v>6085.714285714289</v>
      </c>
      <c r="E1986" s="511">
        <f t="shared" si="131"/>
        <v>205.71428571428572</v>
      </c>
      <c r="F1986" s="469">
        <f t="shared" si="126"/>
        <v>5880.0000000000036</v>
      </c>
      <c r="G1986" s="935">
        <f t="shared" si="127"/>
        <v>1102.9410383045577</v>
      </c>
      <c r="H1986" s="938">
        <f t="shared" si="128"/>
        <v>1102.9410383045577</v>
      </c>
      <c r="I1986" s="509">
        <f t="shared" si="129"/>
        <v>0</v>
      </c>
      <c r="J1986" s="509"/>
      <c r="K1986" s="640"/>
      <c r="L1986" s="514"/>
      <c r="M1986" s="640"/>
      <c r="N1986" s="514"/>
      <c r="O1986" s="514"/>
    </row>
    <row r="1987" spans="3:15">
      <c r="C1987" s="505">
        <f>IF(D1967="","-",+C1986+1)</f>
        <v>2028</v>
      </c>
      <c r="D1987" s="469">
        <f t="shared" si="130"/>
        <v>5880.0000000000036</v>
      </c>
      <c r="E1987" s="511">
        <f t="shared" si="131"/>
        <v>205.71428571428572</v>
      </c>
      <c r="F1987" s="469">
        <f t="shared" si="126"/>
        <v>5674.2857142857183</v>
      </c>
      <c r="G1987" s="935">
        <f t="shared" si="127"/>
        <v>1072.0908347770983</v>
      </c>
      <c r="H1987" s="938">
        <f t="shared" si="128"/>
        <v>1072.0908347770983</v>
      </c>
      <c r="I1987" s="509">
        <f t="shared" si="129"/>
        <v>0</v>
      </c>
      <c r="J1987" s="509"/>
      <c r="K1987" s="640"/>
      <c r="L1987" s="514"/>
      <c r="M1987" s="640"/>
      <c r="N1987" s="514"/>
      <c r="O1987" s="514"/>
    </row>
    <row r="1988" spans="3:15">
      <c r="C1988" s="505">
        <f>IF(D1967="","-",+C1987+1)</f>
        <v>2029</v>
      </c>
      <c r="D1988" s="469">
        <f t="shared" si="130"/>
        <v>5674.2857142857183</v>
      </c>
      <c r="E1988" s="511">
        <f t="shared" si="131"/>
        <v>205.71428571428572</v>
      </c>
      <c r="F1988" s="469">
        <f t="shared" si="126"/>
        <v>5468.571428571433</v>
      </c>
      <c r="G1988" s="935">
        <f t="shared" si="127"/>
        <v>1041.2406312496394</v>
      </c>
      <c r="H1988" s="938">
        <f t="shared" si="128"/>
        <v>1041.2406312496394</v>
      </c>
      <c r="I1988" s="509">
        <f t="shared" si="129"/>
        <v>0</v>
      </c>
      <c r="J1988" s="509"/>
      <c r="K1988" s="640"/>
      <c r="L1988" s="514"/>
      <c r="M1988" s="640"/>
      <c r="N1988" s="514"/>
      <c r="O1988" s="514"/>
    </row>
    <row r="1989" spans="3:15">
      <c r="C1989" s="505">
        <f>IF(D1967="","-",+C1988+1)</f>
        <v>2030</v>
      </c>
      <c r="D1989" s="469">
        <f t="shared" si="130"/>
        <v>5468.571428571433</v>
      </c>
      <c r="E1989" s="511">
        <f t="shared" si="131"/>
        <v>205.71428571428572</v>
      </c>
      <c r="F1989" s="469">
        <f t="shared" si="126"/>
        <v>5262.8571428571477</v>
      </c>
      <c r="G1989" s="935">
        <f t="shared" si="127"/>
        <v>1010.3904277221802</v>
      </c>
      <c r="H1989" s="938">
        <f t="shared" si="128"/>
        <v>1010.3904277221802</v>
      </c>
      <c r="I1989" s="509">
        <f t="shared" si="129"/>
        <v>0</v>
      </c>
      <c r="J1989" s="509"/>
      <c r="K1989" s="640"/>
      <c r="L1989" s="514"/>
      <c r="M1989" s="640"/>
      <c r="N1989" s="514"/>
      <c r="O1989" s="514"/>
    </row>
    <row r="1990" spans="3:15">
      <c r="C1990" s="505">
        <f>IF(D1967="","-",+C1989+1)</f>
        <v>2031</v>
      </c>
      <c r="D1990" s="469">
        <f t="shared" si="130"/>
        <v>5262.8571428571477</v>
      </c>
      <c r="E1990" s="511">
        <f t="shared" si="131"/>
        <v>205.71428571428572</v>
      </c>
      <c r="F1990" s="469">
        <f t="shared" si="126"/>
        <v>5057.1428571428623</v>
      </c>
      <c r="G1990" s="935">
        <f t="shared" si="127"/>
        <v>979.54022419472108</v>
      </c>
      <c r="H1990" s="938">
        <f t="shared" si="128"/>
        <v>979.54022419472108</v>
      </c>
      <c r="I1990" s="509">
        <f t="shared" si="129"/>
        <v>0</v>
      </c>
      <c r="J1990" s="509"/>
      <c r="K1990" s="640"/>
      <c r="L1990" s="514"/>
      <c r="M1990" s="640"/>
      <c r="N1990" s="514"/>
      <c r="O1990" s="514"/>
    </row>
    <row r="1991" spans="3:15">
      <c r="C1991" s="505">
        <f>IF(D1967="","-",+C1990+1)</f>
        <v>2032</v>
      </c>
      <c r="D1991" s="469">
        <f t="shared" si="130"/>
        <v>5057.1428571428623</v>
      </c>
      <c r="E1991" s="511">
        <f t="shared" si="131"/>
        <v>205.71428571428572</v>
      </c>
      <c r="F1991" s="469">
        <f t="shared" si="126"/>
        <v>4851.428571428577</v>
      </c>
      <c r="G1991" s="935">
        <f t="shared" si="127"/>
        <v>948.69002066726193</v>
      </c>
      <c r="H1991" s="938">
        <f t="shared" si="128"/>
        <v>948.69002066726193</v>
      </c>
      <c r="I1991" s="509">
        <f t="shared" si="129"/>
        <v>0</v>
      </c>
      <c r="J1991" s="509"/>
      <c r="K1991" s="640"/>
      <c r="L1991" s="514"/>
      <c r="M1991" s="640"/>
      <c r="N1991" s="514"/>
      <c r="O1991" s="514"/>
    </row>
    <row r="1992" spans="3:15">
      <c r="C1992" s="505">
        <f>IF(D1967="","-",+C1991+1)</f>
        <v>2033</v>
      </c>
      <c r="D1992" s="469">
        <f t="shared" si="130"/>
        <v>4851.428571428577</v>
      </c>
      <c r="E1992" s="511">
        <f t="shared" si="131"/>
        <v>205.71428571428572</v>
      </c>
      <c r="F1992" s="469">
        <f t="shared" si="126"/>
        <v>4645.7142857142917</v>
      </c>
      <c r="G1992" s="935">
        <f t="shared" si="127"/>
        <v>917.83981713980279</v>
      </c>
      <c r="H1992" s="938">
        <f t="shared" si="128"/>
        <v>917.83981713980279</v>
      </c>
      <c r="I1992" s="509">
        <f t="shared" si="129"/>
        <v>0</v>
      </c>
      <c r="J1992" s="509"/>
      <c r="K1992" s="640"/>
      <c r="L1992" s="514"/>
      <c r="M1992" s="640"/>
      <c r="N1992" s="514"/>
      <c r="O1992" s="514"/>
    </row>
    <row r="1993" spans="3:15">
      <c r="C1993" s="505">
        <f>IF(D1967="","-",+C1992+1)</f>
        <v>2034</v>
      </c>
      <c r="D1993" s="469">
        <f t="shared" si="130"/>
        <v>4645.7142857142917</v>
      </c>
      <c r="E1993" s="511">
        <f t="shared" si="131"/>
        <v>205.71428571428572</v>
      </c>
      <c r="F1993" s="469">
        <f t="shared" si="126"/>
        <v>4440.0000000000064</v>
      </c>
      <c r="G1993" s="935">
        <f t="shared" si="127"/>
        <v>886.98961361234365</v>
      </c>
      <c r="H1993" s="938">
        <f t="shared" si="128"/>
        <v>886.98961361234365</v>
      </c>
      <c r="I1993" s="509">
        <f t="shared" si="129"/>
        <v>0</v>
      </c>
      <c r="J1993" s="509"/>
      <c r="K1993" s="640"/>
      <c r="L1993" s="514"/>
      <c r="M1993" s="640"/>
      <c r="N1993" s="514"/>
      <c r="O1993" s="514"/>
    </row>
    <row r="1994" spans="3:15">
      <c r="C1994" s="505">
        <f>IF(D1967="","-",+C1993+1)</f>
        <v>2035</v>
      </c>
      <c r="D1994" s="469">
        <f t="shared" si="130"/>
        <v>4440.0000000000064</v>
      </c>
      <c r="E1994" s="511">
        <f t="shared" si="131"/>
        <v>205.71428571428572</v>
      </c>
      <c r="F1994" s="469">
        <f t="shared" si="126"/>
        <v>4234.285714285721</v>
      </c>
      <c r="G1994" s="935">
        <f t="shared" si="127"/>
        <v>856.13941008488473</v>
      </c>
      <c r="H1994" s="938">
        <f t="shared" si="128"/>
        <v>856.13941008488473</v>
      </c>
      <c r="I1994" s="509">
        <f t="shared" si="129"/>
        <v>0</v>
      </c>
      <c r="J1994" s="509"/>
      <c r="K1994" s="640"/>
      <c r="L1994" s="514"/>
      <c r="M1994" s="640"/>
      <c r="N1994" s="514"/>
      <c r="O1994" s="514"/>
    </row>
    <row r="1995" spans="3:15">
      <c r="C1995" s="505">
        <f>IF(D1967="","-",+C1994+1)</f>
        <v>2036</v>
      </c>
      <c r="D1995" s="469">
        <f t="shared" si="130"/>
        <v>4234.285714285721</v>
      </c>
      <c r="E1995" s="511">
        <f t="shared" si="131"/>
        <v>205.71428571428572</v>
      </c>
      <c r="F1995" s="469">
        <f t="shared" si="126"/>
        <v>4028.5714285714353</v>
      </c>
      <c r="G1995" s="935">
        <f t="shared" si="127"/>
        <v>825.28920655742536</v>
      </c>
      <c r="H1995" s="938">
        <f t="shared" si="128"/>
        <v>825.28920655742536</v>
      </c>
      <c r="I1995" s="509">
        <f t="shared" si="129"/>
        <v>0</v>
      </c>
      <c r="J1995" s="509"/>
      <c r="K1995" s="640"/>
      <c r="L1995" s="514"/>
      <c r="M1995" s="640"/>
      <c r="N1995" s="514"/>
      <c r="O1995" s="514"/>
    </row>
    <row r="1996" spans="3:15">
      <c r="C1996" s="505">
        <f>IF(D1967="","-",+C1995+1)</f>
        <v>2037</v>
      </c>
      <c r="D1996" s="469">
        <f t="shared" si="130"/>
        <v>4028.5714285714353</v>
      </c>
      <c r="E1996" s="511">
        <f t="shared" si="131"/>
        <v>205.71428571428572</v>
      </c>
      <c r="F1996" s="469">
        <f t="shared" si="126"/>
        <v>3822.8571428571495</v>
      </c>
      <c r="G1996" s="935">
        <f t="shared" si="127"/>
        <v>794.43900302996622</v>
      </c>
      <c r="H1996" s="938">
        <f t="shared" si="128"/>
        <v>794.43900302996622</v>
      </c>
      <c r="I1996" s="509">
        <f t="shared" si="129"/>
        <v>0</v>
      </c>
      <c r="J1996" s="509"/>
      <c r="K1996" s="640"/>
      <c r="L1996" s="514"/>
      <c r="M1996" s="640"/>
      <c r="N1996" s="514"/>
      <c r="O1996" s="514"/>
    </row>
    <row r="1997" spans="3:15">
      <c r="C1997" s="505">
        <f>IF(D1967="","-",+C1996+1)</f>
        <v>2038</v>
      </c>
      <c r="D1997" s="469">
        <f t="shared" si="130"/>
        <v>3822.8571428571495</v>
      </c>
      <c r="E1997" s="511">
        <f t="shared" si="131"/>
        <v>205.71428571428572</v>
      </c>
      <c r="F1997" s="469">
        <f t="shared" si="126"/>
        <v>3617.1428571428637</v>
      </c>
      <c r="G1997" s="935">
        <f t="shared" si="127"/>
        <v>763.58879950250707</v>
      </c>
      <c r="H1997" s="938">
        <f t="shared" si="128"/>
        <v>763.58879950250707</v>
      </c>
      <c r="I1997" s="509">
        <f t="shared" si="129"/>
        <v>0</v>
      </c>
      <c r="J1997" s="509"/>
      <c r="K1997" s="640"/>
      <c r="L1997" s="514"/>
      <c r="M1997" s="640"/>
      <c r="N1997" s="514"/>
      <c r="O1997" s="514"/>
    </row>
    <row r="1998" spans="3:15">
      <c r="C1998" s="505">
        <f>IF(D1967="","-",+C1997+1)</f>
        <v>2039</v>
      </c>
      <c r="D1998" s="469">
        <f t="shared" si="130"/>
        <v>3617.1428571428637</v>
      </c>
      <c r="E1998" s="511">
        <f t="shared" si="131"/>
        <v>205.71428571428572</v>
      </c>
      <c r="F1998" s="469">
        <f t="shared" si="126"/>
        <v>3411.4285714285779</v>
      </c>
      <c r="G1998" s="935">
        <f t="shared" si="127"/>
        <v>732.73859597504793</v>
      </c>
      <c r="H1998" s="938">
        <f t="shared" si="128"/>
        <v>732.73859597504793</v>
      </c>
      <c r="I1998" s="509">
        <f t="shared" si="129"/>
        <v>0</v>
      </c>
      <c r="J1998" s="509"/>
      <c r="K1998" s="640"/>
      <c r="L1998" s="514"/>
      <c r="M1998" s="640"/>
      <c r="N1998" s="514"/>
      <c r="O1998" s="514"/>
    </row>
    <row r="1999" spans="3:15">
      <c r="C1999" s="505">
        <f>IF(D1967="","-",+C1998+1)</f>
        <v>2040</v>
      </c>
      <c r="D1999" s="469">
        <f t="shared" si="130"/>
        <v>3411.4285714285779</v>
      </c>
      <c r="E1999" s="511">
        <f t="shared" si="131"/>
        <v>205.71428571428572</v>
      </c>
      <c r="F1999" s="469">
        <f t="shared" si="126"/>
        <v>3205.7142857142921</v>
      </c>
      <c r="G1999" s="935">
        <f t="shared" si="127"/>
        <v>701.88839244758856</v>
      </c>
      <c r="H1999" s="938">
        <f t="shared" si="128"/>
        <v>701.88839244758856</v>
      </c>
      <c r="I1999" s="509">
        <f t="shared" si="129"/>
        <v>0</v>
      </c>
      <c r="J1999" s="509"/>
      <c r="K1999" s="640"/>
      <c r="L1999" s="514"/>
      <c r="M1999" s="640"/>
      <c r="N1999" s="514"/>
      <c r="O1999" s="514"/>
    </row>
    <row r="2000" spans="3:15">
      <c r="C2000" s="505">
        <f>IF(D1967="","-",+C1999+1)</f>
        <v>2041</v>
      </c>
      <c r="D2000" s="469">
        <f t="shared" si="130"/>
        <v>3205.7142857142921</v>
      </c>
      <c r="E2000" s="511">
        <f t="shared" si="131"/>
        <v>205.71428571428572</v>
      </c>
      <c r="F2000" s="469">
        <f t="shared" si="126"/>
        <v>3000.0000000000064</v>
      </c>
      <c r="G2000" s="935">
        <f t="shared" si="127"/>
        <v>671.03818892012941</v>
      </c>
      <c r="H2000" s="938">
        <f t="shared" si="128"/>
        <v>671.03818892012941</v>
      </c>
      <c r="I2000" s="509">
        <f t="shared" si="129"/>
        <v>0</v>
      </c>
      <c r="J2000" s="509"/>
      <c r="K2000" s="640"/>
      <c r="L2000" s="514"/>
      <c r="M2000" s="640"/>
      <c r="N2000" s="514"/>
      <c r="O2000" s="514"/>
    </row>
    <row r="2001" spans="3:15">
      <c r="C2001" s="505">
        <f>IF(D1967="","-",+C2000+1)</f>
        <v>2042</v>
      </c>
      <c r="D2001" s="469">
        <f t="shared" si="130"/>
        <v>3000.0000000000064</v>
      </c>
      <c r="E2001" s="511">
        <f t="shared" si="131"/>
        <v>205.71428571428572</v>
      </c>
      <c r="F2001" s="469">
        <f t="shared" si="126"/>
        <v>2794.2857142857206</v>
      </c>
      <c r="G2001" s="936">
        <f t="shared" si="127"/>
        <v>640.18798539267016</v>
      </c>
      <c r="H2001" s="938">
        <f t="shared" si="128"/>
        <v>640.18798539267016</v>
      </c>
      <c r="I2001" s="509">
        <f t="shared" si="129"/>
        <v>0</v>
      </c>
      <c r="J2001" s="509"/>
      <c r="K2001" s="640"/>
      <c r="L2001" s="514"/>
      <c r="M2001" s="640"/>
      <c r="N2001" s="514"/>
      <c r="O2001" s="514"/>
    </row>
    <row r="2002" spans="3:15">
      <c r="C2002" s="505">
        <f>IF(D1967="","-",+C2001+1)</f>
        <v>2043</v>
      </c>
      <c r="D2002" s="469">
        <f t="shared" si="130"/>
        <v>2794.2857142857206</v>
      </c>
      <c r="E2002" s="511">
        <f t="shared" si="131"/>
        <v>205.71428571428572</v>
      </c>
      <c r="F2002" s="469">
        <f t="shared" si="126"/>
        <v>2588.5714285714348</v>
      </c>
      <c r="G2002" s="935">
        <f t="shared" si="127"/>
        <v>609.33778186521113</v>
      </c>
      <c r="H2002" s="938">
        <f t="shared" si="128"/>
        <v>609.33778186521113</v>
      </c>
      <c r="I2002" s="509">
        <f t="shared" si="129"/>
        <v>0</v>
      </c>
      <c r="J2002" s="509"/>
      <c r="K2002" s="640"/>
      <c r="L2002" s="514"/>
      <c r="M2002" s="640"/>
      <c r="N2002" s="514"/>
      <c r="O2002" s="514"/>
    </row>
    <row r="2003" spans="3:15">
      <c r="C2003" s="505">
        <f>IF(D1967="","-",+C2002+1)</f>
        <v>2044</v>
      </c>
      <c r="D2003" s="469">
        <f t="shared" si="130"/>
        <v>2588.5714285714348</v>
      </c>
      <c r="E2003" s="511">
        <f t="shared" si="131"/>
        <v>205.71428571428572</v>
      </c>
      <c r="F2003" s="469">
        <f t="shared" si="126"/>
        <v>2382.857142857149</v>
      </c>
      <c r="G2003" s="935">
        <f t="shared" si="127"/>
        <v>578.48757833775176</v>
      </c>
      <c r="H2003" s="938">
        <f t="shared" si="128"/>
        <v>578.48757833775176</v>
      </c>
      <c r="I2003" s="509">
        <f t="shared" si="129"/>
        <v>0</v>
      </c>
      <c r="J2003" s="509"/>
      <c r="K2003" s="640"/>
      <c r="L2003" s="514"/>
      <c r="M2003" s="640"/>
      <c r="N2003" s="514"/>
      <c r="O2003" s="514"/>
    </row>
    <row r="2004" spans="3:15">
      <c r="C2004" s="505">
        <f>IF(D1967="","-",+C2003+1)</f>
        <v>2045</v>
      </c>
      <c r="D2004" s="469">
        <f t="shared" si="130"/>
        <v>2382.857142857149</v>
      </c>
      <c r="E2004" s="511">
        <f t="shared" si="131"/>
        <v>205.71428571428572</v>
      </c>
      <c r="F2004" s="469">
        <f t="shared" si="126"/>
        <v>2177.1428571428632</v>
      </c>
      <c r="G2004" s="935">
        <f t="shared" si="127"/>
        <v>547.63737481029261</v>
      </c>
      <c r="H2004" s="938">
        <f t="shared" si="128"/>
        <v>547.63737481029261</v>
      </c>
      <c r="I2004" s="509">
        <f t="shared" si="129"/>
        <v>0</v>
      </c>
      <c r="J2004" s="509"/>
      <c r="K2004" s="640"/>
      <c r="L2004" s="514"/>
      <c r="M2004" s="640"/>
      <c r="N2004" s="514"/>
      <c r="O2004" s="514"/>
    </row>
    <row r="2005" spans="3:15">
      <c r="C2005" s="505">
        <f>IF(D1967="","-",+C2004+1)</f>
        <v>2046</v>
      </c>
      <c r="D2005" s="469">
        <f t="shared" si="130"/>
        <v>2177.1428571428632</v>
      </c>
      <c r="E2005" s="511">
        <f t="shared" si="131"/>
        <v>205.71428571428572</v>
      </c>
      <c r="F2005" s="469">
        <f t="shared" si="126"/>
        <v>1971.4285714285775</v>
      </c>
      <c r="G2005" s="935">
        <f t="shared" si="127"/>
        <v>516.78717128283347</v>
      </c>
      <c r="H2005" s="938">
        <f t="shared" si="128"/>
        <v>516.78717128283347</v>
      </c>
      <c r="I2005" s="509">
        <f t="shared" si="129"/>
        <v>0</v>
      </c>
      <c r="J2005" s="509"/>
      <c r="K2005" s="640"/>
      <c r="L2005" s="514"/>
      <c r="M2005" s="640"/>
      <c r="N2005" s="514"/>
      <c r="O2005" s="514"/>
    </row>
    <row r="2006" spans="3:15">
      <c r="C2006" s="505">
        <f>IF(D1967="","-",+C2005+1)</f>
        <v>2047</v>
      </c>
      <c r="D2006" s="469">
        <f t="shared" si="130"/>
        <v>1971.4285714285775</v>
      </c>
      <c r="E2006" s="511">
        <f t="shared" si="131"/>
        <v>205.71428571428572</v>
      </c>
      <c r="F2006" s="469">
        <f t="shared" si="126"/>
        <v>1765.7142857142917</v>
      </c>
      <c r="G2006" s="935">
        <f t="shared" si="127"/>
        <v>485.93696775537421</v>
      </c>
      <c r="H2006" s="938">
        <f t="shared" si="128"/>
        <v>485.93696775537421</v>
      </c>
      <c r="I2006" s="509">
        <f t="shared" si="129"/>
        <v>0</v>
      </c>
      <c r="J2006" s="509"/>
      <c r="K2006" s="640"/>
      <c r="L2006" s="514"/>
      <c r="M2006" s="640"/>
      <c r="N2006" s="514"/>
      <c r="O2006" s="514"/>
    </row>
    <row r="2007" spans="3:15">
      <c r="C2007" s="505">
        <f>IF(D1967="","-",+C2006+1)</f>
        <v>2048</v>
      </c>
      <c r="D2007" s="469">
        <f t="shared" si="130"/>
        <v>1765.7142857142917</v>
      </c>
      <c r="E2007" s="511">
        <f t="shared" si="131"/>
        <v>205.71428571428572</v>
      </c>
      <c r="F2007" s="469">
        <f t="shared" si="126"/>
        <v>1560.0000000000059</v>
      </c>
      <c r="G2007" s="935">
        <f t="shared" si="127"/>
        <v>455.08676422791507</v>
      </c>
      <c r="H2007" s="938">
        <f t="shared" si="128"/>
        <v>455.08676422791507</v>
      </c>
      <c r="I2007" s="509">
        <f t="shared" si="129"/>
        <v>0</v>
      </c>
      <c r="J2007" s="509"/>
      <c r="K2007" s="640"/>
      <c r="L2007" s="514"/>
      <c r="M2007" s="640"/>
      <c r="N2007" s="514"/>
      <c r="O2007" s="514"/>
    </row>
    <row r="2008" spans="3:15">
      <c r="C2008" s="505">
        <f>IF(D1967="","-",+C2007+1)</f>
        <v>2049</v>
      </c>
      <c r="D2008" s="469">
        <f t="shared" si="130"/>
        <v>1560.0000000000059</v>
      </c>
      <c r="E2008" s="511">
        <f t="shared" si="131"/>
        <v>205.71428571428572</v>
      </c>
      <c r="F2008" s="469">
        <f t="shared" si="126"/>
        <v>1354.2857142857201</v>
      </c>
      <c r="G2008" s="935">
        <f t="shared" si="127"/>
        <v>424.23656070045581</v>
      </c>
      <c r="H2008" s="938">
        <f t="shared" si="128"/>
        <v>424.23656070045581</v>
      </c>
      <c r="I2008" s="509">
        <f t="shared" si="129"/>
        <v>0</v>
      </c>
      <c r="J2008" s="509"/>
      <c r="K2008" s="640"/>
      <c r="L2008" s="514"/>
      <c r="M2008" s="640"/>
      <c r="N2008" s="514"/>
      <c r="O2008" s="514"/>
    </row>
    <row r="2009" spans="3:15">
      <c r="C2009" s="505">
        <f>IF(D1967="","-",+C2008+1)</f>
        <v>2050</v>
      </c>
      <c r="D2009" s="469">
        <f t="shared" si="130"/>
        <v>1354.2857142857201</v>
      </c>
      <c r="E2009" s="511">
        <f t="shared" si="131"/>
        <v>205.71428571428572</v>
      </c>
      <c r="F2009" s="469">
        <f t="shared" si="126"/>
        <v>1148.5714285714344</v>
      </c>
      <c r="G2009" s="935">
        <f t="shared" si="127"/>
        <v>393.38635717299667</v>
      </c>
      <c r="H2009" s="938">
        <f t="shared" si="128"/>
        <v>393.38635717299667</v>
      </c>
      <c r="I2009" s="509">
        <f t="shared" si="129"/>
        <v>0</v>
      </c>
      <c r="J2009" s="509"/>
      <c r="K2009" s="640"/>
      <c r="L2009" s="514"/>
      <c r="M2009" s="640"/>
      <c r="N2009" s="514"/>
      <c r="O2009" s="514"/>
    </row>
    <row r="2010" spans="3:15">
      <c r="C2010" s="505">
        <f>IF(D1967="","-",+C2009+1)</f>
        <v>2051</v>
      </c>
      <c r="D2010" s="469">
        <f t="shared" si="130"/>
        <v>1148.5714285714344</v>
      </c>
      <c r="E2010" s="511">
        <f t="shared" si="131"/>
        <v>205.71428571428572</v>
      </c>
      <c r="F2010" s="469">
        <f t="shared" si="126"/>
        <v>942.85714285714857</v>
      </c>
      <c r="G2010" s="935">
        <f t="shared" si="127"/>
        <v>362.53615364553741</v>
      </c>
      <c r="H2010" s="938">
        <f t="shared" si="128"/>
        <v>362.53615364553741</v>
      </c>
      <c r="I2010" s="509">
        <f t="shared" si="129"/>
        <v>0</v>
      </c>
      <c r="J2010" s="509"/>
      <c r="K2010" s="640"/>
      <c r="L2010" s="514"/>
      <c r="M2010" s="640"/>
      <c r="N2010" s="514"/>
      <c r="O2010" s="514"/>
    </row>
    <row r="2011" spans="3:15">
      <c r="C2011" s="505">
        <f>IF(D1967="","-",+C2010+1)</f>
        <v>2052</v>
      </c>
      <c r="D2011" s="469">
        <f t="shared" si="130"/>
        <v>942.85714285714857</v>
      </c>
      <c r="E2011" s="511">
        <f t="shared" si="131"/>
        <v>205.71428571428572</v>
      </c>
      <c r="F2011" s="469">
        <f t="shared" si="126"/>
        <v>737.14285714286279</v>
      </c>
      <c r="G2011" s="935">
        <f t="shared" si="127"/>
        <v>331.68595011807827</v>
      </c>
      <c r="H2011" s="938">
        <f t="shared" si="128"/>
        <v>331.68595011807827</v>
      </c>
      <c r="I2011" s="509">
        <f t="shared" si="129"/>
        <v>0</v>
      </c>
      <c r="J2011" s="509"/>
      <c r="K2011" s="640"/>
      <c r="L2011" s="514"/>
      <c r="M2011" s="640"/>
      <c r="N2011" s="514"/>
      <c r="O2011" s="514"/>
    </row>
    <row r="2012" spans="3:15">
      <c r="C2012" s="505">
        <f>IF(D1967="","-",+C2011+1)</f>
        <v>2053</v>
      </c>
      <c r="D2012" s="469">
        <f t="shared" si="130"/>
        <v>737.14285714286279</v>
      </c>
      <c r="E2012" s="511">
        <f t="shared" si="131"/>
        <v>205.71428571428572</v>
      </c>
      <c r="F2012" s="469">
        <f t="shared" si="126"/>
        <v>531.42857142857702</v>
      </c>
      <c r="G2012" s="935">
        <f t="shared" si="127"/>
        <v>300.83574659061907</v>
      </c>
      <c r="H2012" s="938">
        <f t="shared" si="128"/>
        <v>300.83574659061907</v>
      </c>
      <c r="I2012" s="509">
        <f t="shared" si="129"/>
        <v>0</v>
      </c>
      <c r="J2012" s="509"/>
      <c r="K2012" s="640"/>
      <c r="L2012" s="514"/>
      <c r="M2012" s="640"/>
      <c r="N2012" s="514"/>
      <c r="O2012" s="514"/>
    </row>
    <row r="2013" spans="3:15">
      <c r="C2013" s="505">
        <f>IF(D1967="","-",+C2012+1)</f>
        <v>2054</v>
      </c>
      <c r="D2013" s="469">
        <f t="shared" si="130"/>
        <v>531.42857142857702</v>
      </c>
      <c r="E2013" s="511">
        <f t="shared" si="131"/>
        <v>205.71428571428572</v>
      </c>
      <c r="F2013" s="469">
        <f t="shared" si="126"/>
        <v>325.71428571429129</v>
      </c>
      <c r="G2013" s="935">
        <f t="shared" si="127"/>
        <v>269.98554306315987</v>
      </c>
      <c r="H2013" s="938">
        <f t="shared" si="128"/>
        <v>269.98554306315987</v>
      </c>
      <c r="I2013" s="509">
        <f t="shared" si="129"/>
        <v>0</v>
      </c>
      <c r="J2013" s="509"/>
      <c r="K2013" s="640"/>
      <c r="L2013" s="514"/>
      <c r="M2013" s="640"/>
      <c r="N2013" s="514"/>
      <c r="O2013" s="514"/>
    </row>
    <row r="2014" spans="3:15">
      <c r="C2014" s="505">
        <f>IF(D1967="","-",+C2013+1)</f>
        <v>2055</v>
      </c>
      <c r="D2014" s="469">
        <f t="shared" si="130"/>
        <v>325.71428571429129</v>
      </c>
      <c r="E2014" s="511">
        <f t="shared" si="131"/>
        <v>205.71428571428572</v>
      </c>
      <c r="F2014" s="469">
        <f t="shared" si="126"/>
        <v>120.00000000000557</v>
      </c>
      <c r="G2014" s="935">
        <f t="shared" si="127"/>
        <v>239.13533953570067</v>
      </c>
      <c r="H2014" s="938">
        <f t="shared" si="128"/>
        <v>239.13533953570067</v>
      </c>
      <c r="I2014" s="509">
        <f t="shared" si="129"/>
        <v>0</v>
      </c>
      <c r="J2014" s="509"/>
      <c r="K2014" s="640"/>
      <c r="L2014" s="514"/>
      <c r="M2014" s="640"/>
      <c r="N2014" s="514"/>
      <c r="O2014" s="514"/>
    </row>
    <row r="2015" spans="3:15">
      <c r="C2015" s="505">
        <f>IF(D1967="","-",+C2014+1)</f>
        <v>2056</v>
      </c>
      <c r="D2015" s="469">
        <f t="shared" si="130"/>
        <v>120.00000000000557</v>
      </c>
      <c r="E2015" s="511">
        <f t="shared" si="131"/>
        <v>120.00000000000557</v>
      </c>
      <c r="F2015" s="469">
        <f t="shared" si="126"/>
        <v>0</v>
      </c>
      <c r="G2015" s="935">
        <f t="shared" si="127"/>
        <v>128.99797602884826</v>
      </c>
      <c r="H2015" s="938">
        <f t="shared" si="128"/>
        <v>128.99797602884826</v>
      </c>
      <c r="I2015" s="509">
        <f t="shared" si="129"/>
        <v>0</v>
      </c>
      <c r="J2015" s="509"/>
      <c r="K2015" s="640"/>
      <c r="L2015" s="514"/>
      <c r="M2015" s="640"/>
      <c r="N2015" s="514"/>
      <c r="O2015" s="514"/>
    </row>
    <row r="2016" spans="3:15">
      <c r="C2016" s="505">
        <f>IF(D1967="","-",+C2015+1)</f>
        <v>2057</v>
      </c>
      <c r="D2016" s="469">
        <f t="shared" si="130"/>
        <v>0</v>
      </c>
      <c r="E2016" s="511">
        <f t="shared" si="131"/>
        <v>0</v>
      </c>
      <c r="F2016" s="469">
        <f t="shared" si="126"/>
        <v>0</v>
      </c>
      <c r="G2016" s="935">
        <f t="shared" si="127"/>
        <v>0</v>
      </c>
      <c r="H2016" s="938">
        <f t="shared" si="128"/>
        <v>0</v>
      </c>
      <c r="I2016" s="509">
        <f t="shared" si="129"/>
        <v>0</v>
      </c>
      <c r="J2016" s="509"/>
      <c r="K2016" s="640"/>
      <c r="L2016" s="514"/>
      <c r="M2016" s="640"/>
      <c r="N2016" s="514"/>
      <c r="O2016" s="514"/>
    </row>
    <row r="2017" spans="3:15">
      <c r="C2017" s="505">
        <f>IF(D1967="","-",+C2016+1)</f>
        <v>2058</v>
      </c>
      <c r="D2017" s="469">
        <f t="shared" si="130"/>
        <v>0</v>
      </c>
      <c r="E2017" s="511">
        <f t="shared" si="131"/>
        <v>0</v>
      </c>
      <c r="F2017" s="469">
        <f t="shared" si="126"/>
        <v>0</v>
      </c>
      <c r="G2017" s="935">
        <f t="shared" si="127"/>
        <v>0</v>
      </c>
      <c r="H2017" s="938">
        <f t="shared" si="128"/>
        <v>0</v>
      </c>
      <c r="I2017" s="509">
        <f t="shared" si="129"/>
        <v>0</v>
      </c>
      <c r="J2017" s="509"/>
      <c r="K2017" s="640"/>
      <c r="L2017" s="514"/>
      <c r="M2017" s="640"/>
      <c r="N2017" s="514"/>
      <c r="O2017" s="514"/>
    </row>
    <row r="2018" spans="3:15">
      <c r="C2018" s="505">
        <f>IF(D1967="","-",+C2017+1)</f>
        <v>2059</v>
      </c>
      <c r="D2018" s="469">
        <f t="shared" si="130"/>
        <v>0</v>
      </c>
      <c r="E2018" s="511">
        <f t="shared" si="131"/>
        <v>0</v>
      </c>
      <c r="F2018" s="469">
        <f t="shared" si="126"/>
        <v>0</v>
      </c>
      <c r="G2018" s="935">
        <f t="shared" si="127"/>
        <v>0</v>
      </c>
      <c r="H2018" s="938">
        <f t="shared" si="128"/>
        <v>0</v>
      </c>
      <c r="I2018" s="509">
        <f t="shared" si="129"/>
        <v>0</v>
      </c>
      <c r="J2018" s="509"/>
      <c r="K2018" s="640"/>
      <c r="L2018" s="514"/>
      <c r="M2018" s="640"/>
      <c r="N2018" s="514"/>
      <c r="O2018" s="514"/>
    </row>
    <row r="2019" spans="3:15">
      <c r="C2019" s="505">
        <f>IF(D1967="","-",+C2018+1)</f>
        <v>2060</v>
      </c>
      <c r="D2019" s="469">
        <f t="shared" si="130"/>
        <v>0</v>
      </c>
      <c r="E2019" s="511">
        <f t="shared" si="131"/>
        <v>0</v>
      </c>
      <c r="F2019" s="469">
        <f t="shared" si="126"/>
        <v>0</v>
      </c>
      <c r="G2019" s="935">
        <f t="shared" si="127"/>
        <v>0</v>
      </c>
      <c r="H2019" s="938">
        <f t="shared" si="128"/>
        <v>0</v>
      </c>
      <c r="I2019" s="509">
        <f t="shared" si="129"/>
        <v>0</v>
      </c>
      <c r="J2019" s="509"/>
      <c r="K2019" s="640"/>
      <c r="L2019" s="514"/>
      <c r="M2019" s="640"/>
      <c r="N2019" s="514"/>
      <c r="O2019" s="514"/>
    </row>
    <row r="2020" spans="3:15">
      <c r="C2020" s="505">
        <f>IF(D1967="","-",+C2019+1)</f>
        <v>2061</v>
      </c>
      <c r="D2020" s="469">
        <f t="shared" si="130"/>
        <v>0</v>
      </c>
      <c r="E2020" s="511">
        <f t="shared" si="131"/>
        <v>0</v>
      </c>
      <c r="F2020" s="469">
        <f t="shared" si="126"/>
        <v>0</v>
      </c>
      <c r="G2020" s="935">
        <f t="shared" si="127"/>
        <v>0</v>
      </c>
      <c r="H2020" s="938">
        <f t="shared" si="128"/>
        <v>0</v>
      </c>
      <c r="I2020" s="509">
        <f t="shared" si="129"/>
        <v>0</v>
      </c>
      <c r="J2020" s="509"/>
      <c r="K2020" s="640"/>
      <c r="L2020" s="514"/>
      <c r="M2020" s="640"/>
      <c r="N2020" s="514"/>
      <c r="O2020" s="514"/>
    </row>
    <row r="2021" spans="3:15">
      <c r="C2021" s="505">
        <f>IF(D1967="","-",+C2020+1)</f>
        <v>2062</v>
      </c>
      <c r="D2021" s="469">
        <f t="shared" si="130"/>
        <v>0</v>
      </c>
      <c r="E2021" s="511">
        <f t="shared" si="131"/>
        <v>0</v>
      </c>
      <c r="F2021" s="469">
        <f t="shared" si="126"/>
        <v>0</v>
      </c>
      <c r="G2021" s="935">
        <f t="shared" si="127"/>
        <v>0</v>
      </c>
      <c r="H2021" s="938">
        <f t="shared" si="128"/>
        <v>0</v>
      </c>
      <c r="I2021" s="509">
        <f t="shared" si="129"/>
        <v>0</v>
      </c>
      <c r="J2021" s="509"/>
      <c r="K2021" s="640"/>
      <c r="L2021" s="514"/>
      <c r="M2021" s="640"/>
      <c r="N2021" s="514"/>
      <c r="O2021" s="514"/>
    </row>
    <row r="2022" spans="3:15">
      <c r="C2022" s="505">
        <f>IF(D1967="","-",+C2021+1)</f>
        <v>2063</v>
      </c>
      <c r="D2022" s="469">
        <f t="shared" si="130"/>
        <v>0</v>
      </c>
      <c r="E2022" s="511">
        <f t="shared" si="131"/>
        <v>0</v>
      </c>
      <c r="F2022" s="469">
        <f t="shared" si="126"/>
        <v>0</v>
      </c>
      <c r="G2022" s="935">
        <f t="shared" si="127"/>
        <v>0</v>
      </c>
      <c r="H2022" s="938">
        <f t="shared" si="128"/>
        <v>0</v>
      </c>
      <c r="I2022" s="509">
        <f t="shared" si="129"/>
        <v>0</v>
      </c>
      <c r="J2022" s="509"/>
      <c r="K2022" s="640"/>
      <c r="L2022" s="514"/>
      <c r="M2022" s="640"/>
      <c r="N2022" s="514"/>
      <c r="O2022" s="514"/>
    </row>
    <row r="2023" spans="3:15">
      <c r="C2023" s="505">
        <f>IF(D1967="","-",+C2022+1)</f>
        <v>2064</v>
      </c>
      <c r="D2023" s="469">
        <f t="shared" si="130"/>
        <v>0</v>
      </c>
      <c r="E2023" s="511">
        <f t="shared" si="131"/>
        <v>0</v>
      </c>
      <c r="F2023" s="469">
        <f t="shared" si="126"/>
        <v>0</v>
      </c>
      <c r="G2023" s="935">
        <f t="shared" si="127"/>
        <v>0</v>
      </c>
      <c r="H2023" s="938">
        <f t="shared" si="128"/>
        <v>0</v>
      </c>
      <c r="I2023" s="509">
        <f t="shared" si="129"/>
        <v>0</v>
      </c>
      <c r="J2023" s="509"/>
      <c r="K2023" s="640"/>
      <c r="L2023" s="514"/>
      <c r="M2023" s="640"/>
      <c r="N2023" s="514"/>
      <c r="O2023" s="514"/>
    </row>
    <row r="2024" spans="3:15">
      <c r="C2024" s="505">
        <f>IF(D1967="","-",+C2023+1)</f>
        <v>2065</v>
      </c>
      <c r="D2024" s="469">
        <f t="shared" si="130"/>
        <v>0</v>
      </c>
      <c r="E2024" s="511">
        <f t="shared" si="131"/>
        <v>0</v>
      </c>
      <c r="F2024" s="469">
        <f t="shared" si="126"/>
        <v>0</v>
      </c>
      <c r="G2024" s="935">
        <f t="shared" si="127"/>
        <v>0</v>
      </c>
      <c r="H2024" s="938">
        <f t="shared" si="128"/>
        <v>0</v>
      </c>
      <c r="I2024" s="509">
        <f t="shared" si="129"/>
        <v>0</v>
      </c>
      <c r="J2024" s="509"/>
      <c r="K2024" s="640"/>
      <c r="L2024" s="514"/>
      <c r="M2024" s="640"/>
      <c r="N2024" s="514"/>
      <c r="O2024" s="514"/>
    </row>
    <row r="2025" spans="3:15">
      <c r="C2025" s="505">
        <f>IF(D1967="","-",+C2024+1)</f>
        <v>2066</v>
      </c>
      <c r="D2025" s="469">
        <f t="shared" si="130"/>
        <v>0</v>
      </c>
      <c r="E2025" s="511">
        <f t="shared" si="131"/>
        <v>0</v>
      </c>
      <c r="F2025" s="469">
        <f t="shared" si="126"/>
        <v>0</v>
      </c>
      <c r="G2025" s="935">
        <f t="shared" si="127"/>
        <v>0</v>
      </c>
      <c r="H2025" s="938">
        <f t="shared" si="128"/>
        <v>0</v>
      </c>
      <c r="I2025" s="509">
        <f t="shared" si="129"/>
        <v>0</v>
      </c>
      <c r="J2025" s="509"/>
      <c r="K2025" s="640"/>
      <c r="L2025" s="514"/>
      <c r="M2025" s="640"/>
      <c r="N2025" s="514"/>
      <c r="O2025" s="514"/>
    </row>
    <row r="2026" spans="3:15">
      <c r="C2026" s="505">
        <f>IF(D1967="","-",+C2025+1)</f>
        <v>2067</v>
      </c>
      <c r="D2026" s="469">
        <f t="shared" si="130"/>
        <v>0</v>
      </c>
      <c r="E2026" s="511">
        <f t="shared" si="131"/>
        <v>0</v>
      </c>
      <c r="F2026" s="469">
        <f t="shared" si="126"/>
        <v>0</v>
      </c>
      <c r="G2026" s="935">
        <f t="shared" si="127"/>
        <v>0</v>
      </c>
      <c r="H2026" s="938">
        <f t="shared" si="128"/>
        <v>0</v>
      </c>
      <c r="I2026" s="509">
        <f t="shared" si="129"/>
        <v>0</v>
      </c>
      <c r="J2026" s="509"/>
      <c r="K2026" s="640"/>
      <c r="L2026" s="514"/>
      <c r="M2026" s="640"/>
      <c r="N2026" s="514"/>
      <c r="O2026" s="514"/>
    </row>
    <row r="2027" spans="3:15">
      <c r="C2027" s="505">
        <f>IF(D1967="","-",+C2026+1)</f>
        <v>2068</v>
      </c>
      <c r="D2027" s="469">
        <f t="shared" si="130"/>
        <v>0</v>
      </c>
      <c r="E2027" s="511">
        <f t="shared" si="131"/>
        <v>0</v>
      </c>
      <c r="F2027" s="469">
        <f t="shared" si="126"/>
        <v>0</v>
      </c>
      <c r="G2027" s="935">
        <f t="shared" si="127"/>
        <v>0</v>
      </c>
      <c r="H2027" s="938">
        <f t="shared" si="128"/>
        <v>0</v>
      </c>
      <c r="I2027" s="509">
        <f t="shared" si="129"/>
        <v>0</v>
      </c>
      <c r="J2027" s="509"/>
      <c r="K2027" s="640"/>
      <c r="L2027" s="514"/>
      <c r="M2027" s="640"/>
      <c r="N2027" s="514"/>
      <c r="O2027" s="514"/>
    </row>
    <row r="2028" spans="3:15">
      <c r="C2028" s="505">
        <f>IF(D1967="","-",+C2027+1)</f>
        <v>2069</v>
      </c>
      <c r="D2028" s="469">
        <f t="shared" si="130"/>
        <v>0</v>
      </c>
      <c r="E2028" s="511">
        <f t="shared" si="131"/>
        <v>0</v>
      </c>
      <c r="F2028" s="469">
        <f t="shared" si="126"/>
        <v>0</v>
      </c>
      <c r="G2028" s="935">
        <f t="shared" si="127"/>
        <v>0</v>
      </c>
      <c r="H2028" s="938">
        <f t="shared" si="128"/>
        <v>0</v>
      </c>
      <c r="I2028" s="509">
        <f t="shared" si="129"/>
        <v>0</v>
      </c>
      <c r="J2028" s="509"/>
      <c r="K2028" s="640"/>
      <c r="L2028" s="514"/>
      <c r="M2028" s="640"/>
      <c r="N2028" s="514"/>
      <c r="O2028" s="514"/>
    </row>
    <row r="2029" spans="3:15">
      <c r="C2029" s="505">
        <f>IF(D1967="","-",+C2028+1)</f>
        <v>2070</v>
      </c>
      <c r="D2029" s="469">
        <f t="shared" si="130"/>
        <v>0</v>
      </c>
      <c r="E2029" s="511">
        <f t="shared" si="131"/>
        <v>0</v>
      </c>
      <c r="F2029" s="469">
        <f t="shared" si="126"/>
        <v>0</v>
      </c>
      <c r="G2029" s="935">
        <f t="shared" si="127"/>
        <v>0</v>
      </c>
      <c r="H2029" s="938">
        <f t="shared" si="128"/>
        <v>0</v>
      </c>
      <c r="I2029" s="509">
        <f t="shared" si="129"/>
        <v>0</v>
      </c>
      <c r="J2029" s="509"/>
      <c r="K2029" s="640"/>
      <c r="L2029" s="514"/>
      <c r="M2029" s="640"/>
      <c r="N2029" s="514"/>
      <c r="O2029" s="514"/>
    </row>
    <row r="2030" spans="3:15">
      <c r="C2030" s="505">
        <f>IF(D1967="","-",+C2029+1)</f>
        <v>2071</v>
      </c>
      <c r="D2030" s="469">
        <f t="shared" si="130"/>
        <v>0</v>
      </c>
      <c r="E2030" s="511">
        <f t="shared" si="131"/>
        <v>0</v>
      </c>
      <c r="F2030" s="469">
        <f t="shared" si="126"/>
        <v>0</v>
      </c>
      <c r="G2030" s="935">
        <f t="shared" si="127"/>
        <v>0</v>
      </c>
      <c r="H2030" s="938">
        <f t="shared" si="128"/>
        <v>0</v>
      </c>
      <c r="I2030" s="509">
        <f t="shared" si="129"/>
        <v>0</v>
      </c>
      <c r="J2030" s="509"/>
      <c r="K2030" s="640"/>
      <c r="L2030" s="514"/>
      <c r="M2030" s="640"/>
      <c r="N2030" s="514"/>
      <c r="O2030" s="514"/>
    </row>
    <row r="2031" spans="3:15">
      <c r="C2031" s="505">
        <f>IF(D1967="","-",+C2030+1)</f>
        <v>2072</v>
      </c>
      <c r="D2031" s="469">
        <f t="shared" si="130"/>
        <v>0</v>
      </c>
      <c r="E2031" s="511">
        <f t="shared" si="131"/>
        <v>0</v>
      </c>
      <c r="F2031" s="469">
        <f t="shared" si="126"/>
        <v>0</v>
      </c>
      <c r="G2031" s="935">
        <f t="shared" si="127"/>
        <v>0</v>
      </c>
      <c r="H2031" s="938">
        <f t="shared" si="128"/>
        <v>0</v>
      </c>
      <c r="I2031" s="509">
        <f t="shared" si="129"/>
        <v>0</v>
      </c>
      <c r="J2031" s="509"/>
      <c r="K2031" s="640"/>
      <c r="L2031" s="514"/>
      <c r="M2031" s="640"/>
      <c r="N2031" s="514"/>
      <c r="O2031" s="514"/>
    </row>
    <row r="2032" spans="3:15" ht="13.5" thickBot="1">
      <c r="C2032" s="515">
        <f>IF(D1967="","-",+C2031+1)</f>
        <v>2073</v>
      </c>
      <c r="D2032" s="516">
        <f t="shared" si="130"/>
        <v>0</v>
      </c>
      <c r="E2032" s="517">
        <f>IF(D2032&gt;$I$1881,$I$1881,D2032)</f>
        <v>0</v>
      </c>
      <c r="F2032" s="516">
        <f t="shared" si="126"/>
        <v>0</v>
      </c>
      <c r="G2032" s="946">
        <f t="shared" si="127"/>
        <v>0</v>
      </c>
      <c r="H2032" s="946">
        <f t="shared" si="128"/>
        <v>0</v>
      </c>
      <c r="I2032" s="519">
        <f t="shared" si="129"/>
        <v>0</v>
      </c>
      <c r="J2032" s="509"/>
      <c r="K2032" s="641"/>
      <c r="L2032" s="521"/>
      <c r="M2032" s="641"/>
      <c r="N2032" s="521"/>
      <c r="O2032" s="521"/>
    </row>
    <row r="2033" spans="3:15">
      <c r="C2033" s="469" t="s">
        <v>288</v>
      </c>
      <c r="D2033" s="915"/>
      <c r="E2033" s="469"/>
      <c r="F2033" s="915"/>
      <c r="G2033" s="915">
        <f>SUM(G1973:G2032)</f>
        <v>36605.709497641772</v>
      </c>
      <c r="H2033" s="915">
        <f>SUM(H1973:H2032)</f>
        <v>36605.709497641772</v>
      </c>
      <c r="I2033" s="915">
        <f>SUM(I1973:I2032)</f>
        <v>0</v>
      </c>
      <c r="J2033" s="915"/>
      <c r="K2033" s="915"/>
      <c r="L2033" s="915"/>
      <c r="M2033" s="915"/>
      <c r="N2033" s="915"/>
      <c r="O2033" s="4"/>
    </row>
    <row r="2034" spans="3:15">
      <c r="D2034" s="79"/>
      <c r="E2034" s="4"/>
      <c r="F2034" s="4"/>
      <c r="G2034" s="4"/>
      <c r="H2034" s="914"/>
      <c r="I2034" s="914"/>
      <c r="J2034" s="915"/>
      <c r="K2034" s="914"/>
      <c r="L2034" s="914"/>
      <c r="M2034" s="914"/>
      <c r="N2034" s="914"/>
      <c r="O2034" s="4"/>
    </row>
    <row r="2035" spans="3:15">
      <c r="C2035" s="4" t="s">
        <v>595</v>
      </c>
      <c r="D2035" s="79"/>
      <c r="E2035" s="4"/>
      <c r="F2035" s="4"/>
      <c r="G2035" s="4"/>
      <c r="H2035" s="914"/>
      <c r="I2035" s="914"/>
      <c r="J2035" s="915"/>
      <c r="K2035" s="914"/>
      <c r="L2035" s="914"/>
      <c r="M2035" s="914"/>
      <c r="N2035" s="914"/>
      <c r="O2035" s="4"/>
    </row>
    <row r="2036" spans="3:15">
      <c r="C2036" s="4"/>
      <c r="D2036" s="79"/>
      <c r="E2036" s="4"/>
      <c r="F2036" s="4"/>
      <c r="G2036" s="4"/>
      <c r="H2036" s="914"/>
      <c r="I2036" s="914"/>
      <c r="J2036" s="915"/>
      <c r="K2036" s="914"/>
      <c r="L2036" s="914"/>
      <c r="M2036" s="914"/>
      <c r="N2036" s="914"/>
      <c r="O2036" s="4"/>
    </row>
    <row r="2037" spans="3:15">
      <c r="C2037" s="479" t="s">
        <v>924</v>
      </c>
      <c r="D2037" s="469"/>
      <c r="E2037" s="469"/>
      <c r="F2037" s="469"/>
      <c r="G2037" s="915"/>
      <c r="H2037" s="915"/>
      <c r="I2037" s="471"/>
      <c r="J2037" s="471"/>
      <c r="K2037" s="471"/>
      <c r="L2037" s="471"/>
      <c r="M2037" s="471"/>
      <c r="N2037" s="471"/>
      <c r="O2037" s="4"/>
    </row>
    <row r="2038" spans="3:15">
      <c r="C2038" s="479" t="s">
        <v>476</v>
      </c>
      <c r="D2038" s="469"/>
      <c r="E2038" s="469"/>
      <c r="F2038" s="469"/>
      <c r="G2038" s="915"/>
      <c r="H2038" s="915"/>
      <c r="I2038" s="471"/>
      <c r="J2038" s="471"/>
      <c r="K2038" s="471"/>
      <c r="L2038" s="471"/>
      <c r="M2038" s="471"/>
      <c r="N2038" s="471"/>
      <c r="O2038" s="4"/>
    </row>
    <row r="2039" spans="3:15">
      <c r="C2039" s="470" t="s">
        <v>289</v>
      </c>
      <c r="D2039" s="469"/>
      <c r="E2039" s="469"/>
      <c r="F2039" s="469"/>
      <c r="G2039" s="915"/>
      <c r="H2039" s="915"/>
      <c r="I2039" s="471"/>
      <c r="J2039" s="471"/>
      <c r="K2039" s="471"/>
      <c r="L2039" s="471"/>
      <c r="M2039" s="471"/>
      <c r="N2039" s="471"/>
      <c r="O2039" s="4"/>
    </row>
    <row r="2040" spans="3:15">
      <c r="C2040" s="470"/>
      <c r="D2040" s="469"/>
      <c r="E2040" s="469"/>
      <c r="F2040" s="469"/>
      <c r="G2040" s="915"/>
      <c r="H2040" s="915"/>
      <c r="I2040" s="471"/>
      <c r="J2040" s="471"/>
      <c r="K2040" s="471"/>
      <c r="L2040" s="471"/>
      <c r="M2040" s="471"/>
      <c r="N2040" s="471"/>
      <c r="O2040" s="4"/>
    </row>
    <row r="2041" spans="3:15">
      <c r="C2041" s="1275" t="s">
        <v>460</v>
      </c>
      <c r="D2041" s="1275"/>
      <c r="E2041" s="1275"/>
      <c r="F2041" s="1275"/>
      <c r="G2041" s="1275"/>
      <c r="H2041" s="1275"/>
      <c r="I2041" s="1275"/>
      <c r="J2041" s="1275"/>
      <c r="K2041" s="1275"/>
      <c r="L2041" s="1275"/>
      <c r="M2041" s="1275"/>
      <c r="N2041" s="1275"/>
      <c r="O2041" s="1275"/>
    </row>
    <row r="2042" spans="3:15">
      <c r="C2042" s="1275"/>
      <c r="D2042" s="1275"/>
      <c r="E2042" s="1275"/>
      <c r="F2042" s="1275"/>
      <c r="G2042" s="1275"/>
      <c r="H2042" s="1275"/>
      <c r="I2042" s="1275"/>
      <c r="J2042" s="1275"/>
      <c r="K2042" s="1275"/>
      <c r="L2042" s="1275"/>
      <c r="M2042" s="1275"/>
      <c r="N2042" s="1275"/>
      <c r="O2042" s="1275"/>
    </row>
  </sheetData>
  <mergeCells count="64">
    <mergeCell ref="C2041:O2042"/>
    <mergeCell ref="K1698:O1698"/>
    <mergeCell ref="C1773:O1774"/>
    <mergeCell ref="D1784:G1784"/>
    <mergeCell ref="K1788:O1788"/>
    <mergeCell ref="C1863:O1864"/>
    <mergeCell ref="D1873:G1873"/>
    <mergeCell ref="C1684:O1685"/>
    <mergeCell ref="D1694:G1694"/>
    <mergeCell ref="K1877:O1877"/>
    <mergeCell ref="C1952:O1953"/>
    <mergeCell ref="K1966:O1966"/>
    <mergeCell ref="C1506:O1507"/>
    <mergeCell ref="D1516:F1516"/>
    <mergeCell ref="K1520:O1520"/>
    <mergeCell ref="C1595:O1596"/>
    <mergeCell ref="K1609:O1609"/>
    <mergeCell ref="D1338:I1338"/>
    <mergeCell ref="K1342:O1342"/>
    <mergeCell ref="C1417:O1418"/>
    <mergeCell ref="D1427:G1427"/>
    <mergeCell ref="K1431:O1431"/>
    <mergeCell ref="K1164:O1164"/>
    <mergeCell ref="D1071:I1071"/>
    <mergeCell ref="C1239:O1240"/>
    <mergeCell ref="K1253:O1253"/>
    <mergeCell ref="C1328:O1329"/>
    <mergeCell ref="C972:O973"/>
    <mergeCell ref="K986:O986"/>
    <mergeCell ref="C1061:O1062"/>
    <mergeCell ref="K1075:O1075"/>
    <mergeCell ref="C1150:O1151"/>
    <mergeCell ref="K22:O23"/>
    <mergeCell ref="K273:O273"/>
    <mergeCell ref="K719:O719"/>
    <mergeCell ref="C794:O795"/>
    <mergeCell ref="D804:I804"/>
    <mergeCell ref="K630:O630"/>
    <mergeCell ref="C705:O706"/>
    <mergeCell ref="C348:O349"/>
    <mergeCell ref="D89:G89"/>
    <mergeCell ref="K93:O93"/>
    <mergeCell ref="C168:O169"/>
    <mergeCell ref="D179:I180"/>
    <mergeCell ref="K183:O183"/>
    <mergeCell ref="C258:O259"/>
    <mergeCell ref="C438:O439"/>
    <mergeCell ref="D448:I448"/>
    <mergeCell ref="D269:G269"/>
    <mergeCell ref="C883:O884"/>
    <mergeCell ref="D893:I893"/>
    <mergeCell ref="K897:O897"/>
    <mergeCell ref="D359:I360"/>
    <mergeCell ref="K363:O363"/>
    <mergeCell ref="K808:O808"/>
    <mergeCell ref="K452:O452"/>
    <mergeCell ref="C527:O528"/>
    <mergeCell ref="K541:O541"/>
    <mergeCell ref="C616:O617"/>
    <mergeCell ref="A3:O3"/>
    <mergeCell ref="C11:H12"/>
    <mergeCell ref="A4:O4"/>
    <mergeCell ref="A5:O5"/>
    <mergeCell ref="A6:O6"/>
  </mergeCells>
  <phoneticPr fontId="0" type="noConversion"/>
  <conditionalFormatting sqref="C100:C159 C190:C249 C280:C339">
    <cfRule type="cellIs" dxfId="58" priority="20" stopIfTrue="1" operator="equal">
      <formula>$I$93</formula>
    </cfRule>
  </conditionalFormatting>
  <conditionalFormatting sqref="C370:C429">
    <cfRule type="cellIs" dxfId="57" priority="19" stopIfTrue="1" operator="equal">
      <formula>$I$93</formula>
    </cfRule>
  </conditionalFormatting>
  <conditionalFormatting sqref="C459:C518">
    <cfRule type="cellIs" dxfId="56" priority="18" stopIfTrue="1" operator="equal">
      <formula>$I$93</formula>
    </cfRule>
  </conditionalFormatting>
  <conditionalFormatting sqref="C548:C607">
    <cfRule type="cellIs" dxfId="55" priority="17" stopIfTrue="1" operator="equal">
      <formula>$I$93</formula>
    </cfRule>
  </conditionalFormatting>
  <conditionalFormatting sqref="C637:C696">
    <cfRule type="cellIs" dxfId="54" priority="16" stopIfTrue="1" operator="equal">
      <formula>$I$93</formula>
    </cfRule>
  </conditionalFormatting>
  <conditionalFormatting sqref="C726:C785">
    <cfRule type="cellIs" dxfId="53" priority="15" stopIfTrue="1" operator="equal">
      <formula>$I$93</formula>
    </cfRule>
  </conditionalFormatting>
  <conditionalFormatting sqref="C815:C874">
    <cfRule type="cellIs" dxfId="52" priority="14" stopIfTrue="1" operator="equal">
      <formula>$I$93</formula>
    </cfRule>
  </conditionalFormatting>
  <conditionalFormatting sqref="C904:C963">
    <cfRule type="cellIs" dxfId="51" priority="13" stopIfTrue="1" operator="equal">
      <formula>$I$93</formula>
    </cfRule>
  </conditionalFormatting>
  <conditionalFormatting sqref="C993:C1052">
    <cfRule type="cellIs" dxfId="50" priority="12" stopIfTrue="1" operator="equal">
      <formula>$I$93</formula>
    </cfRule>
  </conditionalFormatting>
  <conditionalFormatting sqref="C1082:C1141">
    <cfRule type="cellIs" dxfId="49" priority="11" stopIfTrue="1" operator="equal">
      <formula>$I$93</formula>
    </cfRule>
  </conditionalFormatting>
  <conditionalFormatting sqref="C1171:C1230">
    <cfRule type="cellIs" dxfId="48" priority="10" stopIfTrue="1" operator="equal">
      <formula>$I$93</formula>
    </cfRule>
  </conditionalFormatting>
  <conditionalFormatting sqref="C1260:C1319">
    <cfRule type="cellIs" dxfId="47" priority="9" stopIfTrue="1" operator="equal">
      <formula>$I$93</formula>
    </cfRule>
  </conditionalFormatting>
  <conditionalFormatting sqref="C1349:C1408">
    <cfRule type="cellIs" dxfId="46" priority="8" stopIfTrue="1" operator="equal">
      <formula>$I$93</formula>
    </cfRule>
  </conditionalFormatting>
  <conditionalFormatting sqref="C1438:C1497">
    <cfRule type="cellIs" dxfId="45" priority="7" stopIfTrue="1" operator="equal">
      <formula>$I$93</formula>
    </cfRule>
  </conditionalFormatting>
  <conditionalFormatting sqref="C1527:C1586">
    <cfRule type="cellIs" dxfId="44" priority="6" stopIfTrue="1" operator="equal">
      <formula>$I$93</formula>
    </cfRule>
  </conditionalFormatting>
  <conditionalFormatting sqref="C1616:C1675">
    <cfRule type="cellIs" dxfId="43" priority="5" stopIfTrue="1" operator="equal">
      <formula>$I$93</formula>
    </cfRule>
  </conditionalFormatting>
  <conditionalFormatting sqref="C1705:C1764">
    <cfRule type="cellIs" dxfId="42" priority="4" stopIfTrue="1" operator="equal">
      <formula>$I$93</formula>
    </cfRule>
  </conditionalFormatting>
  <conditionalFormatting sqref="C1795:C1854">
    <cfRule type="cellIs" dxfId="41" priority="3" stopIfTrue="1" operator="equal">
      <formula>$I$93</formula>
    </cfRule>
  </conditionalFormatting>
  <conditionalFormatting sqref="C1884:C1943">
    <cfRule type="cellIs" dxfId="40" priority="2" stopIfTrue="1" operator="equal">
      <formula>$I$93</formula>
    </cfRule>
  </conditionalFormatting>
  <conditionalFormatting sqref="C1973:C2032">
    <cfRule type="cellIs" dxfId="39" priority="1" stopIfTrue="1" operator="equal">
      <formula>$I$93</formula>
    </cfRule>
  </conditionalFormatting>
  <pageMargins left="0.26" right="1.28" top="1" bottom="0.5" header="0.75" footer="0.5"/>
  <pageSetup scale="41" fitToHeight="2" orientation="landscape" r:id="rId1"/>
  <headerFooter alignWithMargins="0">
    <oddHeader>&amp;R&amp;"Arial,Bold"Formula Rate 
&amp;A
Page &amp;P of &amp;N</oddHeader>
  </headerFooter>
  <rowBreaks count="21" manualBreakCount="21">
    <brk id="80" max="16383" man="1"/>
    <brk id="170" max="14" man="1"/>
    <brk id="259" max="16383" man="1"/>
    <brk id="439" max="16383" man="1"/>
    <brk id="528" max="16383" man="1"/>
    <brk id="617" max="16383" man="1"/>
    <brk id="706" max="16383" man="1"/>
    <brk id="795" max="16383" man="1"/>
    <brk id="884" max="16383" man="1"/>
    <brk id="973" max="16383" man="1"/>
    <brk id="1062" max="16383" man="1"/>
    <brk id="1151" max="16383" man="1"/>
    <brk id="1240" max="16383" man="1"/>
    <brk id="1329" max="16383" man="1"/>
    <brk id="1418" max="16383" man="1"/>
    <brk id="1507" max="16383" man="1"/>
    <brk id="1596" max="16383" man="1"/>
    <brk id="1685" max="16383" man="1"/>
    <brk id="1775" max="14" man="1"/>
    <brk id="1864" max="16383" man="1"/>
    <brk id="195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Q2066"/>
  <sheetViews>
    <sheetView tabSelected="1" view="pageBreakPreview" zoomScale="70" zoomScaleNormal="100" zoomScaleSheetLayoutView="70" workbookViewId="0">
      <selection activeCell="D11" sqref="D11"/>
    </sheetView>
  </sheetViews>
  <sheetFormatPr defaultColWidth="8.85546875" defaultRowHeight="12.75"/>
  <cols>
    <col min="1" max="1" width="4.5703125" customWidth="1"/>
    <col min="2" max="2" width="6.5703125" customWidth="1"/>
    <col min="3" max="3" width="32.42578125" customWidth="1"/>
    <col min="4" max="4" width="17.5703125" style="1" customWidth="1"/>
    <col min="5" max="5" width="17.5703125" customWidth="1"/>
    <col min="6" max="6" width="21.140625" customWidth="1"/>
    <col min="7" max="8" width="17.5703125" customWidth="1"/>
    <col min="9" max="9" width="17.5703125" style="410" customWidth="1"/>
    <col min="10" max="10" width="17.5703125" bestFit="1" customWidth="1"/>
    <col min="11" max="11" width="2.140625" customWidth="1"/>
    <col min="12" max="12" width="17.5703125" style="4" customWidth="1"/>
    <col min="13" max="13" width="31.85546875" style="4" customWidth="1"/>
    <col min="14" max="15" width="17.5703125" style="4" customWidth="1"/>
    <col min="16" max="16" width="16.5703125" style="4" customWidth="1"/>
    <col min="17" max="17" width="2.140625" style="4" customWidth="1"/>
  </cols>
  <sheetData>
    <row r="1" spans="1:17" ht="15.75">
      <c r="A1" s="657" t="s">
        <v>114</v>
      </c>
    </row>
    <row r="2" spans="1:17" ht="15.75">
      <c r="A2" s="657" t="s">
        <v>114</v>
      </c>
    </row>
    <row r="3" spans="1:17" ht="15">
      <c r="A3" s="1234" t="s">
        <v>387</v>
      </c>
      <c r="B3" s="1234"/>
      <c r="C3" s="1234"/>
      <c r="D3" s="1234"/>
      <c r="E3" s="1234"/>
      <c r="F3" s="1234"/>
      <c r="G3" s="1234"/>
      <c r="H3" s="1234"/>
      <c r="I3" s="1234"/>
      <c r="J3" s="1234"/>
      <c r="K3" s="1234"/>
      <c r="L3" s="1234"/>
      <c r="M3" s="1234"/>
      <c r="N3" s="1234"/>
      <c r="O3" s="1234"/>
      <c r="P3" s="1234"/>
    </row>
    <row r="4" spans="1:17" ht="15">
      <c r="A4" s="1235" t="str">
        <f>"Cost of Service Formula Rate Using "&amp;TCOS!L4&amp;" FF1 Balances"</f>
        <v>Cost of Service Formula Rate Using 2025 FF1 Balances</v>
      </c>
      <c r="B4" s="1235"/>
      <c r="C4" s="1235"/>
      <c r="D4" s="1235"/>
      <c r="E4" s="1235"/>
      <c r="F4" s="1235"/>
      <c r="G4" s="1235"/>
      <c r="H4" s="1235"/>
      <c r="I4" s="1235"/>
      <c r="J4" s="1235"/>
      <c r="K4" s="1235"/>
      <c r="L4" s="1235"/>
      <c r="M4" s="1235"/>
      <c r="N4" s="1235"/>
      <c r="O4" s="1235"/>
      <c r="P4" s="1235"/>
    </row>
    <row r="5" spans="1:17" ht="15">
      <c r="A5" s="1235" t="s">
        <v>469</v>
      </c>
      <c r="B5" s="1235"/>
      <c r="C5" s="1235"/>
      <c r="D5" s="1235"/>
      <c r="E5" s="1235"/>
      <c r="F5" s="1235"/>
      <c r="G5" s="1235"/>
      <c r="H5" s="1235"/>
      <c r="I5" s="1235"/>
      <c r="J5" s="1235"/>
      <c r="K5" s="1235"/>
      <c r="L5" s="1235"/>
      <c r="M5" s="1235"/>
      <c r="N5" s="1235"/>
      <c r="O5" s="1235"/>
      <c r="P5" s="1235"/>
    </row>
    <row r="6" spans="1:17" ht="15">
      <c r="A6" s="1243" t="str">
        <f>TCOS!F9</f>
        <v>Ohio Power Company</v>
      </c>
      <c r="B6" s="1243"/>
      <c r="C6" s="1243"/>
      <c r="D6" s="1243"/>
      <c r="E6" s="1243"/>
      <c r="F6" s="1243"/>
      <c r="G6" s="1243"/>
      <c r="H6" s="1243"/>
      <c r="I6" s="1243"/>
      <c r="J6" s="1243"/>
      <c r="K6" s="1243"/>
      <c r="L6" s="1243"/>
      <c r="M6" s="1243"/>
      <c r="N6" s="1243"/>
      <c r="O6" s="1243"/>
      <c r="P6" s="1243"/>
    </row>
    <row r="8" spans="1:17" ht="20.25">
      <c r="A8" s="411"/>
      <c r="O8" s="11" t="str">
        <f>"Page "&amp;Q8&amp;" of "</f>
        <v xml:space="preserve">Page 1 of </v>
      </c>
      <c r="P8" s="412">
        <f>COUNT(Q$8:Q$58212)</f>
        <v>23</v>
      </c>
      <c r="Q8" s="11">
        <v>1</v>
      </c>
    </row>
    <row r="9" spans="1:17" ht="18">
      <c r="C9" s="13"/>
    </row>
    <row r="11" spans="1:17" ht="18">
      <c r="B11" s="413" t="s">
        <v>171</v>
      </c>
      <c r="C11" s="1272" t="str">
        <f>"Calculate Return and Income Taxes with "&amp;F17&amp;" basis point ROE increase for Projects Qualified for Regional Billing."</f>
        <v>Calculate Return and Income Taxes with 0 basis point ROE increase for Projects Qualified for Regional Billing.</v>
      </c>
      <c r="D11" s="1273"/>
      <c r="E11" s="1273"/>
      <c r="F11" s="1273"/>
      <c r="G11" s="1273"/>
      <c r="H11" s="1273"/>
      <c r="I11" s="1273"/>
    </row>
    <row r="12" spans="1:17" ht="18.75" customHeight="1">
      <c r="C12" s="1273"/>
      <c r="D12" s="1273"/>
      <c r="E12" s="1273"/>
      <c r="F12" s="1273"/>
      <c r="G12" s="1273"/>
      <c r="H12" s="1273"/>
      <c r="I12" s="1273"/>
    </row>
    <row r="13" spans="1:17" ht="15.75" customHeight="1">
      <c r="C13" s="12"/>
      <c r="D13" s="12"/>
      <c r="E13" s="12"/>
      <c r="F13" s="12"/>
      <c r="G13" s="12"/>
      <c r="H13" s="12"/>
      <c r="I13" s="12"/>
    </row>
    <row r="14" spans="1:17" ht="15.75">
      <c r="C14" s="414" t="str">
        <f>"A.   Determine 'R' with hypothetical "&amp;F17&amp;" basis point increase in ROE for Identified Projects"</f>
        <v>A.   Determine 'R' with hypothetical 0 basis point increase in ROE for Identified Projects</v>
      </c>
      <c r="D14" s="283"/>
    </row>
    <row r="15" spans="1:17">
      <c r="C15" s="69"/>
      <c r="D15" s="283"/>
    </row>
    <row r="16" spans="1:17">
      <c r="C16" s="415" t="str">
        <f>"   ROE w/o incentives  (TCOS, ln "&amp;TCOS!B273&amp;")"</f>
        <v xml:space="preserve">   ROE w/o incentives  (TCOS, ln 156)</v>
      </c>
      <c r="D16" s="283"/>
      <c r="E16" s="416"/>
      <c r="F16" s="522">
        <f>TCOS!J273</f>
        <v>9.8500000000000004E-2</v>
      </c>
      <c r="G16" s="522"/>
      <c r="H16" s="416"/>
      <c r="I16" s="418"/>
      <c r="J16" s="418"/>
      <c r="K16" s="418"/>
      <c r="L16" s="418"/>
      <c r="M16" s="418"/>
      <c r="N16" s="418"/>
      <c r="O16" s="418"/>
      <c r="P16" s="418"/>
      <c r="Q16" s="418"/>
    </row>
    <row r="17" spans="3:17" ht="13.5" thickBot="1">
      <c r="C17" s="415" t="s">
        <v>252</v>
      </c>
      <c r="D17" s="283"/>
      <c r="E17" s="416"/>
      <c r="F17" s="633">
        <v>0</v>
      </c>
      <c r="G17" s="416"/>
      <c r="H17" s="416"/>
      <c r="I17" s="418"/>
      <c r="J17" s="418"/>
      <c r="K17" s="418"/>
      <c r="L17" s="418"/>
      <c r="M17" s="418"/>
      <c r="N17" s="418"/>
      <c r="O17" s="418"/>
      <c r="P17" s="418"/>
      <c r="Q17" s="418"/>
    </row>
    <row r="18" spans="3:17">
      <c r="C18" s="415" t="str">
        <f>"   ROE with additional "&amp;F17&amp;" basis point incentive"</f>
        <v xml:space="preserve">   ROE with additional 0 basis point incentive</v>
      </c>
      <c r="D18" s="416"/>
      <c r="E18" s="416"/>
      <c r="F18" s="419">
        <f>IF((F16+(F17/10000)&gt;0.125),"ERROR",F16+(F17/10000))</f>
        <v>9.8500000000000004E-2</v>
      </c>
      <c r="G18" s="420"/>
      <c r="H18" s="416"/>
      <c r="I18" s="418"/>
      <c r="J18" s="418"/>
      <c r="K18" s="418"/>
      <c r="L18" s="523" t="s">
        <v>454</v>
      </c>
      <c r="M18" s="524"/>
      <c r="N18" s="524"/>
      <c r="O18" s="524"/>
      <c r="P18" s="525"/>
      <c r="Q18" s="418"/>
    </row>
    <row r="19" spans="3:17">
      <c r="C19" s="415" t="str">
        <f>"   Determine R  ( cost of long term debt, cost of preferred stock and equity percentage is from the TCOS, lns "&amp;TCOS!B271&amp;" through"&amp;TCOS!B273&amp;")"</f>
        <v xml:space="preserve">   Determine R  ( cost of long term debt, cost of preferred stock and equity percentage is from the TCOS, lns 154 through156)</v>
      </c>
      <c r="D19" s="283"/>
      <c r="E19" s="416"/>
      <c r="F19" s="421"/>
      <c r="G19" s="421"/>
      <c r="H19" s="416"/>
      <c r="I19" s="418"/>
      <c r="J19" s="418"/>
      <c r="K19" s="418"/>
      <c r="L19" s="526"/>
      <c r="M19" s="418"/>
      <c r="N19" s="418" t="s">
        <v>254</v>
      </c>
      <c r="O19" s="418" t="s">
        <v>255</v>
      </c>
      <c r="P19" s="527" t="s">
        <v>256</v>
      </c>
      <c r="Q19" s="418"/>
    </row>
    <row r="20" spans="3:17">
      <c r="C20" s="418"/>
      <c r="D20" s="422" t="s">
        <v>146</v>
      </c>
      <c r="E20" s="422" t="s">
        <v>145</v>
      </c>
      <c r="F20" s="423" t="s">
        <v>253</v>
      </c>
      <c r="G20" s="423"/>
      <c r="H20" s="416"/>
      <c r="I20" s="418"/>
      <c r="J20" s="418"/>
      <c r="K20" s="418"/>
      <c r="L20" s="526" t="s">
        <v>452</v>
      </c>
      <c r="M20" s="528">
        <f>+TCOS!L4</f>
        <v>2025</v>
      </c>
      <c r="P20" s="529"/>
      <c r="Q20" s="418"/>
    </row>
    <row r="21" spans="3:17">
      <c r="C21" s="424" t="s">
        <v>257</v>
      </c>
      <c r="D21" s="530">
        <f>TCOS!I271</f>
        <v>0.48406639502090348</v>
      </c>
      <c r="E21" s="425">
        <f>TCOS!J271</f>
        <v>4.2333680909333329E-2</v>
      </c>
      <c r="F21" s="426">
        <f>E21*D21</f>
        <v>2.0492312305746229E-2</v>
      </c>
      <c r="G21" s="426"/>
      <c r="H21" s="416"/>
      <c r="I21" s="418"/>
      <c r="J21" s="427"/>
      <c r="K21" s="427"/>
      <c r="L21" s="487"/>
      <c r="M21" s="531" t="s">
        <v>453</v>
      </c>
      <c r="N21" s="642">
        <f>M90+M177+M263+M349+M435+M521+M607+M695+M783+M869+M955+M1041+M1127+M1213+M1299+M1385+M1471+M1557+M1643+M1729+M1815+M1901+M1988</f>
        <v>8871135.4438028429</v>
      </c>
      <c r="O21" s="642">
        <f>N90+N177+N263+N349+N435+N521+N607+N695+N783+N869+N955+N1041+N1127+N1213+N1299+N1385+N1471+N1557+N1643+N1729+N1815+N1901+N1988</f>
        <v>8871135.4438028429</v>
      </c>
      <c r="P21" s="532">
        <f>+O21-N21</f>
        <v>0</v>
      </c>
      <c r="Q21" s="427"/>
    </row>
    <row r="22" spans="3:17" ht="13.5" thickBot="1">
      <c r="C22" s="424" t="s">
        <v>258</v>
      </c>
      <c r="D22" s="530">
        <f>TCOS!I272</f>
        <v>0</v>
      </c>
      <c r="E22" s="425">
        <f>TCOS!J272</f>
        <v>0</v>
      </c>
      <c r="F22" s="426">
        <f>E22*D22</f>
        <v>0</v>
      </c>
      <c r="G22" s="426"/>
      <c r="H22" s="428"/>
      <c r="I22" s="428"/>
      <c r="J22" s="429"/>
      <c r="K22" s="429"/>
      <c r="L22" s="487"/>
      <c r="M22" s="531" t="s">
        <v>259</v>
      </c>
      <c r="N22" s="642">
        <f>M91+M178+M264+M350+M436+M522+M608+M696+M784+M870+M956+M1042+M1128+M1214+M1300+M1386+M1472+M1558+M1644+M1730+M1816+M1902+M1989</f>
        <v>9111440.3977178764</v>
      </c>
      <c r="O22" s="1150">
        <f>N91+N178+N264+N350+N436+N522+N608+N696+N784+N870+N956+N1042+N1128+N1214+N1300+N1386+N1472+N1558+N1644+N1730+N1816+N1902+N1989</f>
        <v>9111440.3977178764</v>
      </c>
      <c r="P22" s="533">
        <f>+O22-N22</f>
        <v>0</v>
      </c>
      <c r="Q22" s="429"/>
    </row>
    <row r="23" spans="3:17">
      <c r="C23" s="424" t="s">
        <v>244</v>
      </c>
      <c r="D23" s="530">
        <f>TCOS!I273</f>
        <v>0.51593360497909657</v>
      </c>
      <c r="E23" s="425">
        <f>+F18</f>
        <v>9.8500000000000004E-2</v>
      </c>
      <c r="F23" s="430">
        <f>E23*D23</f>
        <v>5.0819460090441013E-2</v>
      </c>
      <c r="G23" s="430"/>
      <c r="H23" s="428"/>
      <c r="I23" s="428"/>
      <c r="J23" s="429"/>
      <c r="K23" s="429"/>
      <c r="L23" s="487"/>
      <c r="M23" s="531" t="str">
        <f>"True-up of ARR For "&amp;TCOS!L4&amp;""</f>
        <v>True-up of ARR For 2025</v>
      </c>
      <c r="N23" s="1149">
        <f>+N22-N21</f>
        <v>240304.95391503349</v>
      </c>
      <c r="O23" s="469">
        <f>+O22-O21</f>
        <v>240304.95391503349</v>
      </c>
      <c r="P23" s="534">
        <f>+P22-P21</f>
        <v>0</v>
      </c>
      <c r="Q23" s="429"/>
    </row>
    <row r="24" spans="3:17">
      <c r="C24" s="415"/>
      <c r="D24"/>
      <c r="E24" s="431" t="s">
        <v>260</v>
      </c>
      <c r="F24" s="426">
        <f>SUM(F21:F23)</f>
        <v>7.1311772396187245E-2</v>
      </c>
      <c r="G24" s="426"/>
      <c r="H24" s="428"/>
      <c r="I24" s="428"/>
      <c r="J24" s="429"/>
      <c r="K24" s="429"/>
      <c r="L24" s="487"/>
      <c r="P24" s="529"/>
      <c r="Q24" s="429"/>
    </row>
    <row r="25" spans="3:17" ht="13.5" thickBot="1">
      <c r="C25" s="69"/>
      <c r="D25" s="436"/>
      <c r="E25" s="436"/>
      <c r="F25" s="428"/>
      <c r="G25" s="428"/>
      <c r="H25" s="428"/>
      <c r="I25" s="428"/>
      <c r="J25" s="428"/>
      <c r="K25" s="428"/>
      <c r="L25" s="535"/>
      <c r="M25" s="536"/>
      <c r="N25" s="537"/>
      <c r="O25" s="537"/>
      <c r="P25" s="533"/>
      <c r="Q25" s="428"/>
    </row>
    <row r="26" spans="3:17" ht="15.75">
      <c r="C26" s="414" t="str">
        <f>"B.   Determine Return using 'R' with hypothetical "&amp;F17&amp;" basis point ROE increase for Identified Projects."</f>
        <v>B.   Determine Return using 'R' with hypothetical 0 basis point ROE increase for Identified Projects.</v>
      </c>
      <c r="D26" s="436"/>
      <c r="E26" s="436"/>
      <c r="F26" s="428"/>
      <c r="G26" s="428"/>
      <c r="H26" s="428"/>
      <c r="I26" s="416"/>
      <c r="J26" s="428"/>
      <c r="K26" s="428"/>
      <c r="L26" s="428"/>
      <c r="M26" s="428"/>
      <c r="N26" s="428"/>
      <c r="O26" s="428"/>
      <c r="P26" s="428"/>
      <c r="Q26" s="428"/>
    </row>
    <row r="27" spans="3:17">
      <c r="C27" s="418"/>
      <c r="D27" s="436"/>
      <c r="E27" s="436"/>
      <c r="F27" s="428"/>
      <c r="G27" s="428"/>
      <c r="H27" s="428"/>
      <c r="I27" s="428"/>
      <c r="J27" s="428"/>
      <c r="K27" s="428"/>
      <c r="L27" s="428"/>
      <c r="M27" s="428"/>
      <c r="N27" s="428"/>
      <c r="O27" s="428"/>
      <c r="P27" s="428"/>
      <c r="Q27" s="428"/>
    </row>
    <row r="28" spans="3:17">
      <c r="C28" s="443" t="str">
        <f>"   Rate Base  (TCOS, ln "&amp;TCOS!B131&amp;")"</f>
        <v xml:space="preserve">   Rate Base  (TCOS, ln 68)</v>
      </c>
      <c r="D28" s="416"/>
      <c r="E28" s="444">
        <f>TCOS!L131</f>
        <v>2476847923.7184038</v>
      </c>
      <c r="F28" s="451"/>
      <c r="G28" s="451"/>
      <c r="H28" s="428"/>
      <c r="I28" s="428"/>
      <c r="J28" s="428"/>
      <c r="K28" s="428"/>
      <c r="L28" s="428"/>
      <c r="M28" s="428"/>
      <c r="N28" s="428"/>
      <c r="O28" s="428"/>
      <c r="P28" s="451"/>
      <c r="Q28" s="428"/>
    </row>
    <row r="29" spans="3:17">
      <c r="C29" s="418" t="s">
        <v>474</v>
      </c>
      <c r="D29" s="446"/>
      <c r="E29" s="426">
        <f>F24</f>
        <v>7.1311772396187245E-2</v>
      </c>
      <c r="F29" s="428"/>
      <c r="G29" s="428"/>
      <c r="H29" s="428"/>
      <c r="I29" s="428"/>
      <c r="J29" s="428"/>
      <c r="K29" s="428"/>
      <c r="L29" s="428"/>
      <c r="M29" s="428"/>
      <c r="N29" s="428"/>
      <c r="O29" s="428"/>
      <c r="P29" s="428"/>
      <c r="Q29" s="428"/>
    </row>
    <row r="30" spans="3:17">
      <c r="C30" s="447" t="s">
        <v>262</v>
      </c>
      <c r="D30" s="447"/>
      <c r="E30" s="429">
        <f>E28*E29</f>
        <v>176628415.39617577</v>
      </c>
      <c r="F30" s="428"/>
      <c r="G30" s="428"/>
      <c r="H30" s="428"/>
      <c r="I30" s="428"/>
      <c r="J30" s="429"/>
      <c r="K30" s="429"/>
      <c r="L30" s="429"/>
      <c r="M30" s="429"/>
      <c r="N30" s="429"/>
      <c r="O30" s="429"/>
      <c r="P30" s="428"/>
      <c r="Q30" s="429"/>
    </row>
    <row r="31" spans="3:17">
      <c r="C31" s="447"/>
      <c r="D31" s="418"/>
      <c r="E31" s="418"/>
      <c r="F31" s="428"/>
      <c r="G31" s="428"/>
      <c r="H31" s="428"/>
      <c r="I31" s="428"/>
      <c r="J31" s="429"/>
      <c r="K31" s="429"/>
      <c r="L31" s="429"/>
      <c r="M31" s="429"/>
      <c r="N31" s="429"/>
      <c r="O31" s="429"/>
      <c r="P31" s="428"/>
      <c r="Q31" s="429"/>
    </row>
    <row r="32" spans="3:17" ht="15.75">
      <c r="C32" s="414" t="str">
        <f>"C.   Determine Income Taxes using Return with hypothetical "&amp;F17&amp;" basis point ROE increase for Identified Projects."</f>
        <v>C.   Determine Income Taxes using Return with hypothetical 0 basis point ROE increase for Identified Projects.</v>
      </c>
      <c r="D32" s="448"/>
      <c r="E32" s="448"/>
      <c r="F32" s="449"/>
      <c r="G32" s="449"/>
      <c r="H32" s="449"/>
      <c r="I32" s="449"/>
      <c r="J32" s="450"/>
      <c r="K32" s="450"/>
      <c r="L32" s="450"/>
      <c r="M32" s="450"/>
      <c r="N32" s="450"/>
      <c r="O32" s="450"/>
      <c r="P32" s="449"/>
      <c r="Q32" s="450"/>
    </row>
    <row r="33" spans="2:17">
      <c r="C33" s="415"/>
      <c r="D33" s="418"/>
      <c r="E33" s="418"/>
      <c r="F33" s="428"/>
      <c r="G33" s="428"/>
      <c r="H33" s="428"/>
      <c r="I33" s="428"/>
      <c r="J33" s="429"/>
      <c r="K33" s="429"/>
      <c r="L33" s="429"/>
      <c r="M33" s="429"/>
      <c r="N33" s="429"/>
      <c r="O33" s="429"/>
      <c r="P33" s="428"/>
      <c r="Q33" s="429"/>
    </row>
    <row r="34" spans="2:17">
      <c r="C34" s="418" t="s">
        <v>263</v>
      </c>
      <c r="D34" s="431"/>
      <c r="E34" s="451">
        <f>E30</f>
        <v>176628415.39617577</v>
      </c>
      <c r="F34" s="428"/>
      <c r="G34" s="428"/>
      <c r="H34" s="428"/>
      <c r="I34" s="428"/>
      <c r="J34" s="428"/>
      <c r="K34" s="428"/>
      <c r="L34" s="428"/>
      <c r="M34" s="428"/>
      <c r="N34" s="428"/>
      <c r="O34" s="428"/>
      <c r="P34" s="428"/>
      <c r="Q34" s="428"/>
    </row>
    <row r="35" spans="2:17">
      <c r="C35" s="443" t="str">
        <f>"   Effective Tax Rate  (TCOS, ln "&amp;TCOS!B198&amp;")"</f>
        <v xml:space="preserve">   Effective Tax Rate  (TCOS, ln 114)</v>
      </c>
      <c r="D35" s="79"/>
      <c r="E35" s="81">
        <f>TCOS!G198</f>
        <v>0.2017466187308955</v>
      </c>
      <c r="F35" s="4"/>
      <c r="G35" s="4"/>
      <c r="H35" s="4"/>
      <c r="I35" s="452"/>
      <c r="J35" s="4"/>
      <c r="K35" s="4"/>
    </row>
    <row r="36" spans="2:17">
      <c r="C36" s="447" t="s">
        <v>264</v>
      </c>
      <c r="D36" s="79"/>
      <c r="E36" s="453">
        <f>E34*E35</f>
        <v>35634185.577974506</v>
      </c>
      <c r="F36" s="4"/>
      <c r="G36" s="4"/>
      <c r="H36" s="4"/>
      <c r="I36" s="452"/>
      <c r="J36" s="4"/>
      <c r="K36" s="4"/>
    </row>
    <row r="37" spans="2:17" ht="15">
      <c r="C37" s="415" t="s">
        <v>302</v>
      </c>
      <c r="D37" s="250"/>
      <c r="E37" s="428">
        <f>TCOS!L207</f>
        <v>0</v>
      </c>
      <c r="F37" s="250"/>
      <c r="G37" s="250"/>
      <c r="H37" s="250"/>
      <c r="I37" s="250"/>
      <c r="J37" s="250"/>
      <c r="K37" s="250"/>
      <c r="L37" s="250"/>
      <c r="M37" s="250"/>
      <c r="N37" s="250"/>
      <c r="O37" s="250"/>
      <c r="P37" s="264"/>
      <c r="Q37" s="250"/>
    </row>
    <row r="38" spans="2:17" ht="15">
      <c r="C38" s="415" t="s">
        <v>532</v>
      </c>
      <c r="D38" s="250"/>
      <c r="E38" s="428">
        <f>TCOS!L208</f>
        <v>-10899434.800277518</v>
      </c>
      <c r="F38" s="250"/>
      <c r="G38" s="250"/>
      <c r="H38" s="250"/>
      <c r="I38" s="250"/>
      <c r="J38" s="250"/>
      <c r="K38" s="250"/>
      <c r="L38" s="250"/>
      <c r="M38" s="250"/>
      <c r="N38" s="250"/>
      <c r="O38" s="250"/>
      <c r="P38" s="264"/>
      <c r="Q38" s="250"/>
    </row>
    <row r="39" spans="2:17" ht="15">
      <c r="C39" s="415" t="s">
        <v>533</v>
      </c>
      <c r="D39" s="250"/>
      <c r="E39" s="454">
        <f>TCOS!L209</f>
        <v>1784471.8035741395</v>
      </c>
      <c r="F39" s="250"/>
      <c r="G39" s="250"/>
      <c r="H39" s="250"/>
      <c r="I39" s="250"/>
      <c r="J39" s="250"/>
      <c r="K39" s="250"/>
      <c r="L39" s="250"/>
      <c r="M39" s="250"/>
      <c r="N39" s="250"/>
      <c r="O39" s="250"/>
      <c r="P39" s="264"/>
      <c r="Q39" s="250"/>
    </row>
    <row r="40" spans="2:17" ht="15">
      <c r="C40" s="447" t="s">
        <v>265</v>
      </c>
      <c r="D40" s="250"/>
      <c r="E40" s="428">
        <f>E36+E37+E38+E39</f>
        <v>26519222.581271131</v>
      </c>
      <c r="F40" s="250"/>
      <c r="G40" s="250"/>
      <c r="H40" s="250"/>
      <c r="I40" s="250"/>
      <c r="J40" s="250"/>
      <c r="K40" s="250"/>
      <c r="L40" s="250"/>
      <c r="M40" s="250"/>
      <c r="N40" s="250"/>
      <c r="O40" s="250"/>
      <c r="P40" s="263"/>
      <c r="Q40" s="250"/>
    </row>
    <row r="41" spans="2:17" ht="12.75" customHeight="1">
      <c r="C41" s="247"/>
      <c r="D41" s="250"/>
      <c r="E41" s="250"/>
      <c r="F41" s="250"/>
      <c r="G41" s="250"/>
      <c r="H41" s="250"/>
      <c r="I41" s="250"/>
      <c r="J41" s="250"/>
      <c r="K41" s="250"/>
      <c r="L41" s="250"/>
      <c r="M41" s="250"/>
      <c r="N41" s="250"/>
      <c r="O41" s="250"/>
      <c r="P41" s="263"/>
      <c r="Q41" s="250"/>
    </row>
    <row r="42" spans="2:17" ht="18.75">
      <c r="B42" s="413" t="s">
        <v>172</v>
      </c>
      <c r="C42" s="13" t="str">
        <f>"Calculate Net Plant Carrying Charge Rate (Fixed Charge Rate or FCR) with hypothetical "&amp;F17&amp;""</f>
        <v>Calculate Net Plant Carrying Charge Rate (Fixed Charge Rate or FCR) with hypothetical 0</v>
      </c>
      <c r="D42" s="250"/>
      <c r="E42" s="250"/>
      <c r="F42" s="250"/>
      <c r="G42" s="250"/>
      <c r="H42" s="250"/>
      <c r="I42" s="250"/>
      <c r="J42" s="250"/>
      <c r="K42" s="250"/>
      <c r="L42" s="250"/>
      <c r="M42" s="250"/>
      <c r="N42" s="250"/>
      <c r="O42" s="250"/>
      <c r="P42" s="263"/>
      <c r="Q42" s="250"/>
    </row>
    <row r="43" spans="2:17" ht="18.75" customHeight="1">
      <c r="C43" s="13" t="str">
        <f>"basis point ROE increase."</f>
        <v>basis point ROE increase.</v>
      </c>
      <c r="D43" s="250"/>
      <c r="E43" s="250"/>
      <c r="F43" s="250"/>
      <c r="G43" s="250"/>
      <c r="H43" s="250"/>
      <c r="I43" s="250"/>
      <c r="J43" s="250"/>
      <c r="K43" s="250"/>
      <c r="L43" s="250"/>
      <c r="M43" s="250"/>
      <c r="N43" s="250"/>
      <c r="O43" s="250"/>
      <c r="P43" s="263"/>
      <c r="Q43" s="250"/>
    </row>
    <row r="44" spans="2:17" ht="12.75" customHeight="1">
      <c r="C44" s="13"/>
      <c r="D44" s="250"/>
      <c r="E44" s="250"/>
      <c r="F44" s="250"/>
      <c r="G44" s="250"/>
      <c r="H44" s="250"/>
      <c r="I44" s="250"/>
      <c r="J44" s="250"/>
      <c r="K44" s="250"/>
      <c r="L44" s="250"/>
      <c r="M44" s="250"/>
      <c r="N44" s="250"/>
      <c r="O44" s="250"/>
      <c r="P44" s="263"/>
      <c r="Q44" s="250"/>
    </row>
    <row r="45" spans="2:17" ht="15.75">
      <c r="C45" s="414" t="s">
        <v>465</v>
      </c>
      <c r="D45" s="250"/>
      <c r="E45" s="250"/>
      <c r="F45" s="247"/>
      <c r="G45" s="247"/>
      <c r="H45" s="250"/>
      <c r="I45" s="250"/>
      <c r="J45" s="250"/>
      <c r="K45" s="250"/>
      <c r="L45" s="250"/>
      <c r="M45" s="250"/>
      <c r="N45" s="250"/>
      <c r="O45" s="250"/>
      <c r="P45" s="263"/>
      <c r="Q45" s="250"/>
    </row>
    <row r="46" spans="2:17">
      <c r="B46" s="4"/>
      <c r="C46" s="415"/>
      <c r="D46" s="416"/>
      <c r="E46" s="416"/>
      <c r="F46" s="416"/>
      <c r="G46" s="416"/>
      <c r="H46" s="416"/>
      <c r="I46" s="416"/>
      <c r="J46" s="416"/>
      <c r="K46" s="416"/>
      <c r="L46" s="416"/>
      <c r="M46" s="416"/>
      <c r="N46" s="416"/>
      <c r="O46" s="416"/>
      <c r="P46" s="428"/>
      <c r="Q46" s="416"/>
    </row>
    <row r="47" spans="2:17" ht="12.75" customHeight="1">
      <c r="B47" s="4"/>
      <c r="C47" s="443" t="str">
        <f>"   Annual Revenue Requirement  (TCOS, ln "&amp;TCOS!B13&amp;")"</f>
        <v xml:space="preserve">   Annual Revenue Requirement  (TCOS, ln 1)</v>
      </c>
      <c r="D47" s="416"/>
      <c r="E47" s="416"/>
      <c r="F47" s="428">
        <f>TCOS!L13</f>
        <v>511062852.97627866</v>
      </c>
      <c r="G47" s="428"/>
      <c r="H47" s="538" t="s">
        <v>114</v>
      </c>
      <c r="I47" s="416"/>
      <c r="J47" s="416"/>
      <c r="K47" s="416"/>
      <c r="L47" s="416"/>
      <c r="M47" s="416"/>
      <c r="N47" s="416"/>
      <c r="O47" s="416"/>
      <c r="P47" s="428"/>
      <c r="Q47" s="416"/>
    </row>
    <row r="48" spans="2:17" ht="12.75" customHeight="1">
      <c r="B48" s="4"/>
      <c r="C48" s="443" t="str">
        <f>"   Lease Payments (TCOS, Ln "&amp;TCOS!B175&amp;")"</f>
        <v xml:space="preserve">   Lease Payments (TCOS, Ln 95)</v>
      </c>
      <c r="D48" s="416"/>
      <c r="E48" s="416"/>
      <c r="F48" s="428">
        <f>TCOS!L175</f>
        <v>2784788</v>
      </c>
      <c r="G48" s="428"/>
      <c r="H48" s="538"/>
      <c r="I48" s="416"/>
      <c r="J48" s="416"/>
      <c r="K48" s="416"/>
      <c r="L48" s="416"/>
      <c r="M48" s="416"/>
      <c r="N48" s="416"/>
      <c r="O48" s="416"/>
      <c r="P48" s="428"/>
      <c r="Q48" s="416"/>
    </row>
    <row r="49" spans="2:17">
      <c r="B49" s="4"/>
      <c r="C49" s="443" t="str">
        <f>"   Return  (TCOS, ln "&amp;TCOS!B213&amp;")"</f>
        <v xml:space="preserve">   Return  (TCOS, ln 126)</v>
      </c>
      <c r="D49" s="416"/>
      <c r="E49" s="416"/>
      <c r="F49" s="429">
        <f>TCOS!L213</f>
        <v>176628415.39617577</v>
      </c>
      <c r="G49" s="429"/>
      <c r="H49" s="415"/>
      <c r="I49" s="415"/>
      <c r="J49" s="415"/>
      <c r="K49" s="415"/>
      <c r="L49" s="415"/>
      <c r="M49" s="415"/>
      <c r="N49" s="415"/>
      <c r="O49" s="415"/>
      <c r="P49" s="428"/>
      <c r="Q49" s="415"/>
    </row>
    <row r="50" spans="2:17">
      <c r="B50" s="4"/>
      <c r="C50" s="443" t="str">
        <f>"   Income Taxes  (TCOS, ln "&amp;TCOS!B211&amp;")"</f>
        <v xml:space="preserve">   Income Taxes  (TCOS, ln 125)</v>
      </c>
      <c r="D50" s="416"/>
      <c r="E50" s="416"/>
      <c r="F50" s="455">
        <f>TCOS!L211</f>
        <v>26519222.581271131</v>
      </c>
      <c r="G50" s="455"/>
      <c r="H50" s="416"/>
      <c r="I50" s="416"/>
      <c r="J50" s="456"/>
      <c r="K50" s="456"/>
      <c r="L50" s="456"/>
      <c r="M50" s="456"/>
      <c r="N50" s="456"/>
      <c r="O50" s="456"/>
      <c r="P50" s="416"/>
      <c r="Q50" s="456"/>
    </row>
    <row r="51" spans="2:17">
      <c r="B51" s="4"/>
      <c r="C51" s="1225" t="s">
        <v>589</v>
      </c>
      <c r="D51" s="1273"/>
      <c r="E51" s="416"/>
      <c r="F51" s="429">
        <f>F47-F49-F50-F48</f>
        <v>305130426.99883181</v>
      </c>
      <c r="G51" s="429"/>
      <c r="H51" s="457"/>
      <c r="I51" s="416"/>
      <c r="J51" s="457"/>
      <c r="K51" s="457"/>
      <c r="L51" s="457"/>
      <c r="M51" s="457"/>
      <c r="N51" s="457"/>
      <c r="O51" s="457"/>
      <c r="P51" s="457"/>
      <c r="Q51" s="457"/>
    </row>
    <row r="52" spans="2:17">
      <c r="B52" s="4"/>
      <c r="C52" s="1273"/>
      <c r="D52" s="1273"/>
      <c r="E52" s="416"/>
      <c r="F52" s="428"/>
      <c r="G52" s="428"/>
      <c r="H52" s="458"/>
      <c r="I52" s="459"/>
      <c r="J52" s="459"/>
      <c r="K52" s="459"/>
      <c r="L52" s="459"/>
      <c r="M52" s="459"/>
      <c r="N52" s="459"/>
      <c r="O52" s="459"/>
      <c r="P52" s="459"/>
      <c r="Q52" s="459"/>
    </row>
    <row r="53" spans="2:17" ht="15.75">
      <c r="B53" s="4"/>
      <c r="C53" s="414" t="str">
        <f>"B.   Determine Annual Revenue Requirement with hypothetical "&amp;F17&amp;" basis point increase in ROE."</f>
        <v>B.   Determine Annual Revenue Requirement with hypothetical 0 basis point increase in ROE.</v>
      </c>
      <c r="D53" s="418"/>
      <c r="E53" s="418"/>
      <c r="F53" s="428"/>
      <c r="G53" s="428"/>
      <c r="H53" s="458"/>
      <c r="I53" s="459"/>
      <c r="J53" s="459"/>
      <c r="K53" s="459"/>
      <c r="L53" s="459"/>
      <c r="M53" s="459"/>
      <c r="N53" s="459"/>
      <c r="O53" s="459"/>
      <c r="P53" s="459"/>
      <c r="Q53" s="459"/>
    </row>
    <row r="54" spans="2:17">
      <c r="B54" s="4"/>
      <c r="C54" s="415"/>
      <c r="D54" s="418"/>
      <c r="E54" s="418"/>
      <c r="F54" s="428"/>
      <c r="G54" s="428"/>
      <c r="H54" s="458"/>
      <c r="I54" s="459"/>
      <c r="J54" s="459"/>
      <c r="K54" s="459"/>
      <c r="L54" s="459"/>
      <c r="M54" s="459"/>
      <c r="N54" s="459"/>
      <c r="O54" s="459"/>
      <c r="P54" s="459"/>
      <c r="Q54" s="459"/>
    </row>
    <row r="55" spans="2:17">
      <c r="B55" s="4"/>
      <c r="C55" s="415" t="str">
        <f>C51</f>
        <v xml:space="preserve">   Annual Revenue Requirement, Less Lease Payments, Return and Taxes</v>
      </c>
      <c r="D55" s="418"/>
      <c r="E55" s="418"/>
      <c r="F55" s="428">
        <f>F51</f>
        <v>305130426.99883181</v>
      </c>
      <c r="G55" s="428"/>
      <c r="H55" s="416"/>
      <c r="I55" s="416"/>
      <c r="J55" s="416"/>
      <c r="K55" s="416"/>
      <c r="L55" s="416"/>
      <c r="M55" s="416"/>
      <c r="N55" s="416"/>
      <c r="O55" s="416"/>
      <c r="P55" s="460"/>
      <c r="Q55" s="416"/>
    </row>
    <row r="56" spans="2:17">
      <c r="B56" s="4"/>
      <c r="C56" s="418" t="s">
        <v>299</v>
      </c>
      <c r="D56" s="79"/>
      <c r="E56" s="4"/>
      <c r="F56" s="453">
        <f>E30</f>
        <v>176628415.39617577</v>
      </c>
      <c r="G56" s="453"/>
      <c r="H56" s="4"/>
      <c r="I56" s="461"/>
      <c r="J56" s="4"/>
      <c r="K56" s="4"/>
    </row>
    <row r="57" spans="2:17" ht="12.75" customHeight="1">
      <c r="B57" s="4"/>
      <c r="C57" s="415" t="s">
        <v>266</v>
      </c>
      <c r="D57" s="416"/>
      <c r="E57" s="416"/>
      <c r="F57" s="455">
        <f>E40</f>
        <v>26519222.581271131</v>
      </c>
      <c r="G57" s="455"/>
      <c r="H57" s="4"/>
      <c r="I57" s="452"/>
      <c r="J57" s="4"/>
      <c r="K57" s="4"/>
    </row>
    <row r="58" spans="2:17">
      <c r="B58" s="4"/>
      <c r="C58" s="4" t="str">
        <f>"   Annual Revenue Requirement, with "&amp;F17&amp;" Basis Point ROE increase"</f>
        <v xml:space="preserve">   Annual Revenue Requirement, with 0 Basis Point ROE increase</v>
      </c>
      <c r="D58" s="79"/>
      <c r="E58" s="4"/>
      <c r="F58" s="453">
        <f>SUM(F55:F57)</f>
        <v>508278064.97627872</v>
      </c>
      <c r="G58" s="453"/>
      <c r="H58" s="4"/>
      <c r="I58" s="452"/>
      <c r="J58" s="4"/>
      <c r="K58" s="4"/>
    </row>
    <row r="59" spans="2:17">
      <c r="B59" s="4"/>
      <c r="C59" s="443" t="str">
        <f>"   Depreciation  (TCOS, ln "&amp;TCOS!B181&amp;")"</f>
        <v xml:space="preserve">   Depreciation  (TCOS, ln 100)</v>
      </c>
      <c r="D59" s="79"/>
      <c r="E59" s="4"/>
      <c r="F59" s="462">
        <f>TCOS!L181</f>
        <v>89533634</v>
      </c>
      <c r="G59" s="462"/>
      <c r="H59" s="453"/>
      <c r="I59" s="452"/>
      <c r="J59" s="4"/>
      <c r="K59" s="4"/>
    </row>
    <row r="60" spans="2:17">
      <c r="B60" s="4"/>
      <c r="C60" s="1225" t="str">
        <f>"   Annual Rev. Req, w/ "&amp;F17&amp;" Basis Point ROE increase, less Depreciation"</f>
        <v xml:space="preserve">   Annual Rev. Req, w/ 0 Basis Point ROE increase, less Depreciation</v>
      </c>
      <c r="D60" s="1273"/>
      <c r="E60" s="4"/>
      <c r="F60" s="453">
        <f>F58-F59</f>
        <v>418744430.97627872</v>
      </c>
      <c r="G60" s="453"/>
      <c r="H60" s="4"/>
      <c r="I60" s="452"/>
      <c r="J60" s="4"/>
      <c r="K60" s="4"/>
    </row>
    <row r="61" spans="2:17">
      <c r="B61" s="4"/>
      <c r="C61" s="1273"/>
      <c r="D61" s="1273"/>
      <c r="E61" s="4"/>
      <c r="F61" s="4"/>
      <c r="G61" s="4"/>
      <c r="H61" s="4"/>
      <c r="I61" s="452"/>
      <c r="J61" s="4"/>
      <c r="K61" s="4"/>
    </row>
    <row r="62" spans="2:17" ht="15.75">
      <c r="B62" s="4"/>
      <c r="C62" s="414" t="str">
        <f>"C.   Determine FCR with hypothetical "&amp;F17&amp;" basis point ROE increase."</f>
        <v>C.   Determine FCR with hypothetical 0 basis point ROE increase.</v>
      </c>
      <c r="D62" s="79"/>
      <c r="E62" s="4"/>
      <c r="F62" s="4"/>
      <c r="G62" s="4"/>
      <c r="H62" s="4"/>
      <c r="I62" s="452"/>
      <c r="J62" s="4"/>
      <c r="K62" s="4"/>
    </row>
    <row r="63" spans="2:17">
      <c r="B63" s="4"/>
      <c r="C63" s="4"/>
      <c r="D63" s="79"/>
      <c r="E63" s="4"/>
      <c r="F63" s="4"/>
      <c r="G63" s="4"/>
      <c r="H63" s="4"/>
      <c r="I63" s="452"/>
      <c r="J63" s="4"/>
      <c r="K63" s="4"/>
    </row>
    <row r="64" spans="2:17">
      <c r="B64" s="4"/>
      <c r="C64" s="443" t="str">
        <f>"   Net Transmission Plant  (TCOS, ln "&amp;TCOS!B95&amp;")"</f>
        <v xml:space="preserve">   Net Transmission Plant  (TCOS, ln 42)</v>
      </c>
      <c r="D64" s="79"/>
      <c r="E64" s="4"/>
      <c r="F64" s="453">
        <f>TCOS!L95</f>
        <v>2792257478.5753703</v>
      </c>
      <c r="G64" s="453"/>
      <c r="H64" s="453"/>
      <c r="I64" s="463"/>
      <c r="J64" s="4"/>
      <c r="K64" s="4"/>
    </row>
    <row r="65" spans="2:11">
      <c r="B65" s="4"/>
      <c r="C65" s="4" t="str">
        <f>"   Annual Revenue Requirement, with "&amp;F17&amp;" Basis Point ROE increase"</f>
        <v xml:space="preserve">   Annual Revenue Requirement, with 0 Basis Point ROE increase</v>
      </c>
      <c r="D65" s="79"/>
      <c r="E65" s="4"/>
      <c r="F65" s="453">
        <f>F58</f>
        <v>508278064.97627872</v>
      </c>
      <c r="G65" s="453"/>
      <c r="H65" s="4"/>
      <c r="I65" s="452"/>
      <c r="J65" s="4"/>
      <c r="K65" s="4"/>
    </row>
    <row r="66" spans="2:11">
      <c r="B66" s="4"/>
      <c r="C66" s="4" t="str">
        <f>"   FCR with "&amp;F17&amp;" Basis Point increase in ROE"</f>
        <v xml:space="preserve">   FCR with 0 Basis Point increase in ROE</v>
      </c>
      <c r="D66" s="79"/>
      <c r="E66" s="4"/>
      <c r="F66" s="81">
        <f>F65/F64</f>
        <v>0.18203123059969592</v>
      </c>
      <c r="G66" s="81"/>
      <c r="H66" s="81"/>
      <c r="I66" s="452"/>
      <c r="J66" s="4"/>
      <c r="K66" s="4"/>
    </row>
    <row r="67" spans="2:11">
      <c r="B67" s="4"/>
      <c r="C67" s="69"/>
      <c r="D67" s="79"/>
      <c r="E67" s="4"/>
      <c r="F67" s="4"/>
      <c r="G67" s="4"/>
      <c r="H67" s="4"/>
      <c r="I67" s="452"/>
      <c r="J67" s="4"/>
      <c r="K67" s="4"/>
    </row>
    <row r="68" spans="2:11">
      <c r="B68" s="4"/>
      <c r="C68" s="4" t="str">
        <f>"   Annual Rev. Req, w / "&amp;F17&amp;" Basis Point ROE increase, less Dep."</f>
        <v xml:space="preserve">   Annual Rev. Req, w / 0 Basis Point ROE increase, less Dep.</v>
      </c>
      <c r="D68" s="79"/>
      <c r="E68" s="4"/>
      <c r="F68" s="453">
        <f>F60</f>
        <v>418744430.97627872</v>
      </c>
      <c r="G68" s="453"/>
      <c r="H68" s="4"/>
      <c r="I68" s="452"/>
      <c r="J68" s="4"/>
      <c r="K68" s="4"/>
    </row>
    <row r="69" spans="2:11">
      <c r="B69" s="4"/>
      <c r="C69" s="4" t="str">
        <f>"   FCR with "&amp;F17&amp;" Basis Point ROE increase, less Depreciation"</f>
        <v xml:space="preserve">   FCR with 0 Basis Point ROE increase, less Depreciation</v>
      </c>
      <c r="D69" s="79"/>
      <c r="E69" s="4"/>
      <c r="F69" s="81">
        <f>F68/F64</f>
        <v>0.14996626714737107</v>
      </c>
      <c r="G69" s="81"/>
      <c r="H69" s="4"/>
      <c r="I69" s="452"/>
      <c r="J69" s="4"/>
      <c r="K69" s="4"/>
    </row>
    <row r="70" spans="2:11">
      <c r="B70" s="4"/>
      <c r="C70" s="443" t="str">
        <f>"   FCR less Depreciation  (TCOS, ln "&amp;TCOS!B34&amp;")"</f>
        <v xml:space="preserve">   FCR less Depreciation  (TCOS, ln 10)</v>
      </c>
      <c r="D70" s="79"/>
      <c r="E70" s="4"/>
      <c r="F70" s="464">
        <f>TCOS!L34</f>
        <v>0.14996626714737105</v>
      </c>
      <c r="G70" s="464"/>
      <c r="H70" s="4"/>
      <c r="I70" s="452"/>
      <c r="J70" s="4"/>
      <c r="K70" s="4"/>
    </row>
    <row r="71" spans="2:11">
      <c r="B71" s="4"/>
      <c r="C71" s="1225" t="str">
        <f>"   Incremental FCR with "&amp;F17&amp;" Basis Point ROE increase, less Depreciation"</f>
        <v xml:space="preserve">   Incremental FCR with 0 Basis Point ROE increase, less Depreciation</v>
      </c>
      <c r="D71" s="1273"/>
      <c r="E71" s="4"/>
      <c r="F71" s="81">
        <f>F69-F70</f>
        <v>0</v>
      </c>
      <c r="G71" s="81"/>
      <c r="H71" s="4"/>
      <c r="I71" s="452"/>
      <c r="J71" s="4"/>
      <c r="K71" s="4"/>
    </row>
    <row r="72" spans="2:11">
      <c r="B72" s="4"/>
      <c r="C72" s="1273"/>
      <c r="D72" s="1273"/>
      <c r="E72" s="4"/>
      <c r="F72" s="81"/>
      <c r="G72" s="81"/>
      <c r="H72" s="4"/>
      <c r="I72" s="452"/>
      <c r="J72" s="4"/>
      <c r="K72" s="4"/>
    </row>
    <row r="73" spans="2:11" ht="18.75">
      <c r="B73" s="413" t="s">
        <v>173</v>
      </c>
      <c r="C73" s="13" t="s">
        <v>267</v>
      </c>
      <c r="D73" s="79"/>
      <c r="E73" s="4"/>
      <c r="F73" s="81"/>
      <c r="G73" s="81"/>
      <c r="H73" s="4"/>
      <c r="I73" s="452"/>
      <c r="J73" s="4"/>
      <c r="K73" s="4"/>
    </row>
    <row r="74" spans="2:11">
      <c r="B74" s="4"/>
      <c r="C74" s="4"/>
      <c r="D74" s="79"/>
      <c r="E74" s="4"/>
      <c r="F74" s="81"/>
      <c r="G74" s="81"/>
      <c r="H74" s="4"/>
      <c r="I74" s="452"/>
      <c r="J74" s="4"/>
      <c r="K74" s="4"/>
    </row>
    <row r="75" spans="2:11">
      <c r="B75" s="4"/>
      <c r="C75" s="4" t="str">
        <f>+"Average Transmission Plant Balance for "&amp;TCOS!L4&amp;" (TCOS, ln "&amp;TCOS!B68&amp;")"</f>
        <v>Average Transmission Plant Balance for 2025 (TCOS, ln 21)</v>
      </c>
      <c r="D75" s="79"/>
      <c r="H75" s="452">
        <f>TCOS!L68</f>
        <v>3771560679.9469085</v>
      </c>
      <c r="J75" s="4"/>
      <c r="K75" s="4"/>
    </row>
    <row r="76" spans="2:11">
      <c r="B76" s="4"/>
      <c r="C76" s="465" t="str">
        <f>"Annual Depreciation and Amortization Expense (TCOS, ln "&amp;TCOS!B181&amp;")"</f>
        <v>Annual Depreciation and Amortization Expense (TCOS, ln 100)</v>
      </c>
      <c r="D76" s="79"/>
      <c r="E76" s="4"/>
      <c r="H76" s="466">
        <f>TCOS!L181</f>
        <v>89533634</v>
      </c>
      <c r="I76" s="452"/>
      <c r="J76" s="4"/>
      <c r="K76" s="4"/>
    </row>
    <row r="77" spans="2:11">
      <c r="B77" s="4"/>
      <c r="C77" s="4" t="s">
        <v>268</v>
      </c>
      <c r="D77" s="79"/>
      <c r="E77" s="4"/>
      <c r="H77" s="81">
        <f>+H76/H75</f>
        <v>2.3739147158905141E-2</v>
      </c>
      <c r="I77" s="468"/>
      <c r="J77" s="4"/>
      <c r="K77" s="4"/>
    </row>
    <row r="78" spans="2:11">
      <c r="B78" s="4"/>
      <c r="C78" s="4" t="s">
        <v>269</v>
      </c>
      <c r="D78" s="79"/>
      <c r="E78" s="4"/>
      <c r="H78" s="468">
        <f>1/H77</f>
        <v>42.124512447991428</v>
      </c>
      <c r="I78" s="452"/>
      <c r="J78" s="4"/>
      <c r="K78" s="4"/>
    </row>
    <row r="79" spans="2:11">
      <c r="B79" s="4"/>
      <c r="C79" s="4" t="s">
        <v>270</v>
      </c>
      <c r="D79" s="79"/>
      <c r="E79" s="4"/>
      <c r="H79" s="469">
        <f>ROUND(H78,0)</f>
        <v>42</v>
      </c>
      <c r="I79" s="452"/>
      <c r="J79" s="4"/>
      <c r="K79" s="4"/>
    </row>
    <row r="80" spans="2:11">
      <c r="B80" s="4"/>
      <c r="C80" s="4"/>
      <c r="D80" s="79"/>
      <c r="E80" s="4"/>
      <c r="H80" s="469"/>
      <c r="I80" s="452"/>
      <c r="J80" s="4"/>
      <c r="K80" s="4"/>
    </row>
    <row r="81" spans="1:17">
      <c r="C81" s="470"/>
      <c r="D81" s="469"/>
      <c r="E81" s="469"/>
      <c r="F81" s="469"/>
      <c r="G81" s="469"/>
      <c r="H81" s="467"/>
      <c r="I81" s="467"/>
      <c r="J81" s="471"/>
      <c r="K81" s="471"/>
      <c r="L81" s="471"/>
      <c r="M81" s="471"/>
      <c r="N81" s="471"/>
      <c r="O81" s="471"/>
      <c r="Q81" s="471"/>
    </row>
    <row r="82" spans="1:17">
      <c r="C82" s="470"/>
      <c r="D82" s="469"/>
      <c r="E82" s="469"/>
      <c r="F82" s="469"/>
      <c r="G82" s="469"/>
      <c r="H82" s="467"/>
      <c r="I82" s="467"/>
      <c r="J82" s="471"/>
      <c r="K82" s="471"/>
      <c r="L82" s="471"/>
      <c r="M82" s="471"/>
      <c r="N82" s="471"/>
      <c r="O82" s="471"/>
      <c r="Q82" s="471"/>
    </row>
    <row r="83" spans="1:17" ht="20.25">
      <c r="A83" s="411" t="s">
        <v>762</v>
      </c>
      <c r="B83" s="4"/>
      <c r="C83" s="4"/>
      <c r="D83" s="79"/>
      <c r="E83" s="4"/>
      <c r="F83" s="81"/>
      <c r="G83" s="81"/>
      <c r="H83" s="4"/>
      <c r="I83" s="452"/>
      <c r="L83" s="11"/>
      <c r="M83" s="11"/>
      <c r="N83" s="11"/>
      <c r="O83" s="11" t="str">
        <f>"Page "&amp;SUM(Q$3:Q83)&amp;" of "</f>
        <v xml:space="preserve">Page 2 of </v>
      </c>
      <c r="P83" s="412">
        <f>COUNT(Q$8:Q$58212)</f>
        <v>23</v>
      </c>
      <c r="Q83" s="539">
        <v>1</v>
      </c>
    </row>
    <row r="84" spans="1:17">
      <c r="B84" s="4"/>
      <c r="C84" s="4"/>
      <c r="D84" s="79"/>
      <c r="E84" s="4"/>
      <c r="F84" s="4"/>
      <c r="G84" s="4"/>
      <c r="H84" s="4"/>
      <c r="I84" s="452"/>
      <c r="J84" s="4"/>
      <c r="K84" s="4"/>
    </row>
    <row r="85" spans="1:17" ht="18">
      <c r="B85" s="413" t="s">
        <v>174</v>
      </c>
      <c r="C85" s="472" t="s">
        <v>290</v>
      </c>
      <c r="D85" s="79"/>
      <c r="E85" s="4"/>
      <c r="F85" s="4"/>
      <c r="G85" s="4"/>
      <c r="H85" s="4"/>
      <c r="I85" s="452"/>
      <c r="J85" s="452"/>
      <c r="K85" s="467"/>
      <c r="L85" s="452"/>
      <c r="M85" s="452"/>
      <c r="N85" s="452"/>
      <c r="O85" s="452"/>
      <c r="Q85" s="467"/>
    </row>
    <row r="86" spans="1:17" ht="18.75">
      <c r="B86" s="413"/>
      <c r="C86" s="13"/>
      <c r="D86" s="79"/>
      <c r="E86" s="4"/>
      <c r="F86" s="4"/>
      <c r="G86" s="4"/>
      <c r="H86" s="4"/>
      <c r="I86" s="452"/>
      <c r="J86" s="452"/>
      <c r="K86" s="467"/>
      <c r="L86" s="452"/>
      <c r="M86" s="452"/>
      <c r="N86" s="452"/>
      <c r="O86" s="452"/>
      <c r="Q86" s="467"/>
    </row>
    <row r="87" spans="1:17" ht="18.75">
      <c r="B87" s="413"/>
      <c r="C87" s="13" t="s">
        <v>291</v>
      </c>
      <c r="D87" s="79"/>
      <c r="E87" s="4"/>
      <c r="F87" s="4"/>
      <c r="G87" s="4"/>
      <c r="H87" s="4"/>
      <c r="I87" s="452"/>
      <c r="J87" s="452"/>
      <c r="K87" s="467"/>
      <c r="L87" s="452"/>
      <c r="M87" s="452"/>
      <c r="N87" s="452"/>
      <c r="O87" s="452"/>
      <c r="Q87" s="467"/>
    </row>
    <row r="88" spans="1:17" ht="15.75" thickBot="1">
      <c r="C88" s="247"/>
      <c r="D88" s="79"/>
      <c r="E88" s="4"/>
      <c r="F88" s="4"/>
      <c r="G88" s="4"/>
      <c r="H88" s="4"/>
      <c r="I88" s="452"/>
      <c r="J88" s="452"/>
      <c r="K88" s="467"/>
      <c r="L88" s="452"/>
      <c r="M88" s="452"/>
      <c r="N88" s="452"/>
      <c r="O88" s="452"/>
      <c r="Q88" s="467"/>
    </row>
    <row r="89" spans="1:17" ht="15.75">
      <c r="C89" s="414" t="s">
        <v>292</v>
      </c>
      <c r="D89" s="79"/>
      <c r="E89" s="4"/>
      <c r="F89" s="4"/>
      <c r="G89" s="4"/>
      <c r="H89" s="635"/>
      <c r="I89" s="4" t="s">
        <v>271</v>
      </c>
      <c r="J89" s="4"/>
      <c r="K89" s="4"/>
      <c r="L89" s="540">
        <f>+J95</f>
        <v>2025</v>
      </c>
      <c r="M89" s="524" t="s">
        <v>254</v>
      </c>
      <c r="N89" s="524" t="s">
        <v>255</v>
      </c>
      <c r="O89" s="525" t="s">
        <v>256</v>
      </c>
    </row>
    <row r="90" spans="1:17" ht="15.75">
      <c r="C90" s="414"/>
      <c r="D90" s="79"/>
      <c r="E90" s="4"/>
      <c r="F90" s="4"/>
      <c r="H90" s="4"/>
      <c r="I90" s="476"/>
      <c r="J90" s="476"/>
      <c r="K90" s="477"/>
      <c r="L90" s="541" t="s">
        <v>455</v>
      </c>
      <c r="M90" s="542">
        <f>VLOOKUP(J95,C102:P161,10)</f>
        <v>629737.72105424246</v>
      </c>
      <c r="N90" s="542">
        <f>VLOOKUP(J95,C102:P161,12)</f>
        <v>629737.72105424246</v>
      </c>
      <c r="O90" s="543">
        <f>+N90-M90</f>
        <v>0</v>
      </c>
      <c r="Q90" s="477"/>
    </row>
    <row r="91" spans="1:17">
      <c r="C91" s="479" t="s">
        <v>293</v>
      </c>
      <c r="D91" s="1274" t="s">
        <v>922</v>
      </c>
      <c r="E91" s="1274"/>
      <c r="F91" s="1274"/>
      <c r="G91" s="1274"/>
      <c r="H91" s="643"/>
      <c r="I91" s="452"/>
      <c r="J91" s="452"/>
      <c r="K91" s="467"/>
      <c r="L91" s="541" t="s">
        <v>456</v>
      </c>
      <c r="M91" s="544">
        <f>VLOOKUP(J95,C102:P161,6)</f>
        <v>643475.92992345989</v>
      </c>
      <c r="N91" s="544">
        <f>VLOOKUP(J95,C102:P161,7)</f>
        <v>643475.92992345989</v>
      </c>
      <c r="O91" s="545">
        <f>+N91-M91</f>
        <v>0</v>
      </c>
      <c r="Q91" s="467"/>
    </row>
    <row r="92" spans="1:17" ht="13.5" thickBot="1">
      <c r="C92" s="481"/>
      <c r="D92" s="482"/>
      <c r="E92" s="469"/>
      <c r="F92" s="469"/>
      <c r="G92" s="469"/>
      <c r="H92" s="483"/>
      <c r="I92" s="452"/>
      <c r="J92" s="452"/>
      <c r="K92" s="467"/>
      <c r="L92" s="492" t="s">
        <v>457</v>
      </c>
      <c r="M92" s="546">
        <f>+M91-M90</f>
        <v>13738.208869217429</v>
      </c>
      <c r="N92" s="546">
        <f>+N91-N90</f>
        <v>13738.208869217429</v>
      </c>
      <c r="O92" s="547">
        <f>+O91-O90</f>
        <v>0</v>
      </c>
      <c r="Q92" s="467"/>
    </row>
    <row r="93" spans="1:17" ht="13.5" thickBot="1">
      <c r="C93" s="481"/>
      <c r="D93" s="4"/>
      <c r="E93" s="483"/>
      <c r="F93" s="483"/>
      <c r="G93" s="483"/>
      <c r="H93" s="483"/>
      <c r="I93" s="483"/>
      <c r="J93" s="483"/>
      <c r="K93" s="483"/>
      <c r="L93" s="483"/>
      <c r="M93" s="483"/>
      <c r="N93" s="483"/>
      <c r="O93" s="483"/>
      <c r="Q93" s="483"/>
    </row>
    <row r="94" spans="1:17" ht="13.5" thickBot="1">
      <c r="C94" s="484" t="s">
        <v>294</v>
      </c>
      <c r="D94" s="485"/>
      <c r="E94" s="485"/>
      <c r="F94" s="485"/>
      <c r="G94" s="485"/>
      <c r="H94" s="485"/>
      <c r="I94" s="485"/>
      <c r="J94" s="485"/>
      <c r="Q94"/>
    </row>
    <row r="95" spans="1:17" ht="15">
      <c r="A95" s="977"/>
      <c r="C95" s="487" t="s">
        <v>272</v>
      </c>
      <c r="D95" s="926">
        <v>5559037.0700000003</v>
      </c>
      <c r="E95" s="4" t="s">
        <v>273</v>
      </c>
      <c r="H95" s="79"/>
      <c r="I95" s="79"/>
      <c r="J95" s="488">
        <v>2025</v>
      </c>
      <c r="K95" s="135"/>
      <c r="L95" s="1287" t="s">
        <v>274</v>
      </c>
      <c r="M95" s="1287"/>
      <c r="N95" s="1287"/>
      <c r="O95" s="1287"/>
      <c r="Q95" s="135"/>
    </row>
    <row r="96" spans="1:17">
      <c r="A96" s="977"/>
      <c r="C96" s="487" t="s">
        <v>275</v>
      </c>
      <c r="D96" s="644">
        <v>2009</v>
      </c>
      <c r="E96" s="487" t="s">
        <v>276</v>
      </c>
      <c r="F96" s="79"/>
      <c r="G96" s="79"/>
      <c r="I96"/>
      <c r="J96" s="638">
        <v>0</v>
      </c>
      <c r="K96" s="489"/>
      <c r="L96" s="467" t="s">
        <v>475</v>
      </c>
      <c r="Q96" s="489"/>
    </row>
    <row r="97" spans="1:17">
      <c r="A97" s="977"/>
      <c r="C97" s="487" t="s">
        <v>277</v>
      </c>
      <c r="D97" s="926">
        <v>3</v>
      </c>
      <c r="E97" s="487" t="s">
        <v>278</v>
      </c>
      <c r="F97" s="79"/>
      <c r="G97" s="79"/>
      <c r="I97"/>
      <c r="J97" s="490">
        <f>$F$70</f>
        <v>0.14996626714737105</v>
      </c>
      <c r="K97" s="81"/>
      <c r="L97" s="4" t="str">
        <f>"          INPUT TRUE-UP ARR (WITH &amp; WITHOUT INCENTIVES) FROM EACH PRIOR YEAR"</f>
        <v xml:space="preserve">          INPUT TRUE-UP ARR (WITH &amp; WITHOUT INCENTIVES) FROM EACH PRIOR YEAR</v>
      </c>
      <c r="Q97" s="81"/>
    </row>
    <row r="98" spans="1:17">
      <c r="A98" s="977"/>
      <c r="C98" s="487" t="s">
        <v>279</v>
      </c>
      <c r="D98" s="491">
        <f>H79</f>
        <v>42</v>
      </c>
      <c r="E98" s="487" t="s">
        <v>280</v>
      </c>
      <c r="F98" s="79"/>
      <c r="G98" s="79"/>
      <c r="I98"/>
      <c r="J98" s="490">
        <f>IF(H89="",J97,$F$69)</f>
        <v>0.14996626714737105</v>
      </c>
      <c r="K98" s="81"/>
      <c r="L98" s="4" t="s">
        <v>362</v>
      </c>
      <c r="M98" s="81"/>
      <c r="N98" s="81"/>
      <c r="O98" s="81"/>
      <c r="Q98" s="81"/>
    </row>
    <row r="99" spans="1:17" ht="13.5" thickBot="1">
      <c r="A99" s="977"/>
      <c r="C99" s="487" t="s">
        <v>281</v>
      </c>
      <c r="D99" s="637" t="s">
        <v>923</v>
      </c>
      <c r="E99" s="492" t="s">
        <v>282</v>
      </c>
      <c r="F99" s="493"/>
      <c r="G99" s="493"/>
      <c r="H99" s="494"/>
      <c r="I99" s="494"/>
      <c r="J99" s="480">
        <f>IF(D95=0,0,D95/D98)</f>
        <v>132358.02547619049</v>
      </c>
      <c r="K99" s="467"/>
      <c r="L99" s="467" t="s">
        <v>363</v>
      </c>
      <c r="M99" s="467"/>
      <c r="N99" s="467"/>
      <c r="O99" s="467"/>
      <c r="Q99" s="467"/>
    </row>
    <row r="100" spans="1:17" ht="38.25">
      <c r="A100" s="12"/>
      <c r="B100" s="12"/>
      <c r="C100" s="495" t="s">
        <v>272</v>
      </c>
      <c r="D100" s="496" t="s">
        <v>283</v>
      </c>
      <c r="E100" s="497" t="s">
        <v>284</v>
      </c>
      <c r="F100" s="496" t="s">
        <v>285</v>
      </c>
      <c r="G100" s="496" t="s">
        <v>458</v>
      </c>
      <c r="H100" s="497" t="s">
        <v>356</v>
      </c>
      <c r="I100" s="498" t="s">
        <v>356</v>
      </c>
      <c r="J100" s="495" t="s">
        <v>295</v>
      </c>
      <c r="K100" s="499"/>
      <c r="L100" s="497" t="s">
        <v>358</v>
      </c>
      <c r="M100" s="497" t="s">
        <v>364</v>
      </c>
      <c r="N100" s="497" t="s">
        <v>358</v>
      </c>
      <c r="O100" s="497" t="s">
        <v>366</v>
      </c>
      <c r="P100" s="497" t="s">
        <v>286</v>
      </c>
      <c r="Q100" s="128"/>
    </row>
    <row r="101" spans="1:17" ht="13.5" thickBot="1">
      <c r="C101" s="500" t="s">
        <v>177</v>
      </c>
      <c r="D101" s="501" t="s">
        <v>178</v>
      </c>
      <c r="E101" s="500" t="s">
        <v>37</v>
      </c>
      <c r="F101" s="501" t="s">
        <v>178</v>
      </c>
      <c r="G101" s="501" t="s">
        <v>178</v>
      </c>
      <c r="H101" s="502" t="s">
        <v>298</v>
      </c>
      <c r="I101" s="503" t="s">
        <v>300</v>
      </c>
      <c r="J101" s="500" t="s">
        <v>389</v>
      </c>
      <c r="K101" s="504"/>
      <c r="L101" s="502" t="s">
        <v>287</v>
      </c>
      <c r="M101" s="502" t="s">
        <v>287</v>
      </c>
      <c r="N101" s="502" t="s">
        <v>467</v>
      </c>
      <c r="O101" s="502" t="s">
        <v>467</v>
      </c>
      <c r="P101" s="502" t="s">
        <v>467</v>
      </c>
      <c r="Q101" s="135"/>
    </row>
    <row r="102" spans="1:17">
      <c r="C102" s="505">
        <f>IF(D96= "","-",D96)</f>
        <v>2009</v>
      </c>
      <c r="D102" s="469">
        <f>+D95</f>
        <v>5559037.0700000003</v>
      </c>
      <c r="E102" s="506">
        <f>+J99/12*(12-D97)</f>
        <v>99268.519107142871</v>
      </c>
      <c r="F102" s="548">
        <f t="shared" ref="F102:F133" si="0">+D102-E102</f>
        <v>5459768.5508928578</v>
      </c>
      <c r="G102" s="469">
        <f t="shared" ref="G102:G133" si="1">+(D102+F102)/2</f>
        <v>5509402.8104464291</v>
      </c>
      <c r="H102" s="507">
        <f>+J97*G102+E102</f>
        <v>925493.09280102886</v>
      </c>
      <c r="I102" s="508">
        <f>+J98*G102+E102</f>
        <v>925493.09280102886</v>
      </c>
      <c r="J102" s="509">
        <f t="shared" ref="J102:J133" si="2">+I102-H102</f>
        <v>0</v>
      </c>
      <c r="K102" s="509"/>
      <c r="L102" s="513">
        <v>894795.92009701405</v>
      </c>
      <c r="M102" s="549">
        <f t="shared" ref="M102:M133" si="3">IF(L102&lt;&gt;0,+H102-L102,0)</f>
        <v>30697.172704014811</v>
      </c>
      <c r="N102" s="513">
        <v>894795.92009701405</v>
      </c>
      <c r="O102" s="549">
        <f t="shared" ref="O102:O133" si="4">IF(N102&lt;&gt;0,+I102-N102,0)</f>
        <v>30697.172704014811</v>
      </c>
      <c r="P102" s="549">
        <f t="shared" ref="P102:P133" si="5">+O102-M102</f>
        <v>0</v>
      </c>
      <c r="Q102" s="471"/>
    </row>
    <row r="103" spans="1:17">
      <c r="C103" s="505">
        <f>IF(D96="","-",+C102+1)</f>
        <v>2010</v>
      </c>
      <c r="D103" s="469">
        <f t="shared" ref="D103:D134" si="6">F102</f>
        <v>5459768.5508928578</v>
      </c>
      <c r="E103" s="511">
        <f t="shared" ref="E103:E134" si="7">IF(D103&gt;$J$99,$J$99,D103)</f>
        <v>132358.02547619049</v>
      </c>
      <c r="F103" s="511">
        <f t="shared" si="0"/>
        <v>5327410.5254166676</v>
      </c>
      <c r="G103" s="469">
        <f t="shared" si="1"/>
        <v>5393589.5381547622</v>
      </c>
      <c r="H103" s="506">
        <f>+J97*G103+E103</f>
        <v>941214.51503837318</v>
      </c>
      <c r="I103" s="512">
        <f>+J98*G103+E103</f>
        <v>941214.51503837318</v>
      </c>
      <c r="J103" s="509">
        <f t="shared" si="2"/>
        <v>0</v>
      </c>
      <c r="K103" s="509"/>
      <c r="L103" s="513">
        <v>1094271.219602833</v>
      </c>
      <c r="M103" s="509">
        <f t="shared" si="3"/>
        <v>-153056.70456445985</v>
      </c>
      <c r="N103" s="513">
        <v>1094271.219602833</v>
      </c>
      <c r="O103" s="509">
        <f t="shared" si="4"/>
        <v>-153056.70456445985</v>
      </c>
      <c r="P103" s="509">
        <f t="shared" si="5"/>
        <v>0</v>
      </c>
      <c r="Q103" s="471"/>
    </row>
    <row r="104" spans="1:17">
      <c r="C104" s="505">
        <f>IF(D96="","-",+C103+1)</f>
        <v>2011</v>
      </c>
      <c r="D104" s="469">
        <f t="shared" si="6"/>
        <v>5327410.5254166676</v>
      </c>
      <c r="E104" s="511">
        <f t="shared" si="7"/>
        <v>132358.02547619049</v>
      </c>
      <c r="F104" s="511">
        <f t="shared" si="0"/>
        <v>5195052.4999404773</v>
      </c>
      <c r="G104" s="469">
        <f t="shared" si="1"/>
        <v>5261231.5126785729</v>
      </c>
      <c r="H104" s="506">
        <f>+J97*G104+E104</f>
        <v>921365.27603071241</v>
      </c>
      <c r="I104" s="512">
        <f>+J98*G104+E104</f>
        <v>921365.27603071241</v>
      </c>
      <c r="J104" s="509">
        <f t="shared" si="2"/>
        <v>0</v>
      </c>
      <c r="K104" s="509"/>
      <c r="L104" s="513">
        <v>1210680</v>
      </c>
      <c r="M104" s="509">
        <f t="shared" si="3"/>
        <v>-289314.72396928759</v>
      </c>
      <c r="N104" s="513">
        <v>1210680</v>
      </c>
      <c r="O104" s="509">
        <f t="shared" si="4"/>
        <v>-289314.72396928759</v>
      </c>
      <c r="P104" s="509">
        <f t="shared" si="5"/>
        <v>0</v>
      </c>
      <c r="Q104" s="471"/>
    </row>
    <row r="105" spans="1:17">
      <c r="C105" s="505">
        <f>IF(D96="","-",+C104+1)</f>
        <v>2012</v>
      </c>
      <c r="D105" s="469">
        <f t="shared" si="6"/>
        <v>5195052.4999404773</v>
      </c>
      <c r="E105" s="511">
        <f t="shared" si="7"/>
        <v>132358.02547619049</v>
      </c>
      <c r="F105" s="511">
        <f t="shared" si="0"/>
        <v>5062694.4744642871</v>
      </c>
      <c r="G105" s="469">
        <f t="shared" si="1"/>
        <v>5128873.4872023817</v>
      </c>
      <c r="H105" s="506">
        <f>+J97*G105+E105</f>
        <v>901516.03702305141</v>
      </c>
      <c r="I105" s="512">
        <f>+J98*G105+E105</f>
        <v>901516.03702305141</v>
      </c>
      <c r="J105" s="509">
        <f t="shared" si="2"/>
        <v>0</v>
      </c>
      <c r="K105" s="509"/>
      <c r="L105" s="513">
        <v>1057665.8743332385</v>
      </c>
      <c r="M105" s="509">
        <f t="shared" si="3"/>
        <v>-156149.83731018705</v>
      </c>
      <c r="N105" s="513">
        <v>1057665.8743332385</v>
      </c>
      <c r="O105" s="509">
        <f t="shared" si="4"/>
        <v>-156149.83731018705</v>
      </c>
      <c r="P105" s="509">
        <f t="shared" si="5"/>
        <v>0</v>
      </c>
      <c r="Q105" s="471"/>
    </row>
    <row r="106" spans="1:17">
      <c r="C106" s="505">
        <f>IF(D96="","-",+C105+1)</f>
        <v>2013</v>
      </c>
      <c r="D106" s="469">
        <f t="shared" si="6"/>
        <v>5062694.4744642871</v>
      </c>
      <c r="E106" s="511">
        <f t="shared" si="7"/>
        <v>132358.02547619049</v>
      </c>
      <c r="F106" s="511">
        <f t="shared" si="0"/>
        <v>4930336.4489880968</v>
      </c>
      <c r="G106" s="469">
        <f t="shared" si="1"/>
        <v>4996515.4617261924</v>
      </c>
      <c r="H106" s="506">
        <f>+J97*G106+E106</f>
        <v>881666.79801539064</v>
      </c>
      <c r="I106" s="512">
        <f>+J98*G106+E106</f>
        <v>881666.79801539064</v>
      </c>
      <c r="J106" s="509">
        <f t="shared" si="2"/>
        <v>0</v>
      </c>
      <c r="K106" s="509"/>
      <c r="L106" s="513">
        <v>1051933</v>
      </c>
      <c r="M106" s="509">
        <f t="shared" si="3"/>
        <v>-170266.20198460936</v>
      </c>
      <c r="N106" s="513">
        <v>1051933</v>
      </c>
      <c r="O106" s="509">
        <f t="shared" si="4"/>
        <v>-170266.20198460936</v>
      </c>
      <c r="P106" s="509">
        <f t="shared" si="5"/>
        <v>0</v>
      </c>
      <c r="Q106" s="471"/>
    </row>
    <row r="107" spans="1:17">
      <c r="C107" s="505">
        <f>IF(D96="","-",+C106+1)</f>
        <v>2014</v>
      </c>
      <c r="D107" s="469">
        <f t="shared" si="6"/>
        <v>4930336.4489880968</v>
      </c>
      <c r="E107" s="511">
        <f t="shared" si="7"/>
        <v>132358.02547619049</v>
      </c>
      <c r="F107" s="511">
        <f t="shared" si="0"/>
        <v>4797978.4235119065</v>
      </c>
      <c r="G107" s="469">
        <f t="shared" si="1"/>
        <v>4864157.4362500012</v>
      </c>
      <c r="H107" s="506">
        <f>+J97*G107+E107</f>
        <v>861817.55900772964</v>
      </c>
      <c r="I107" s="512">
        <f>+J98*G107+E107</f>
        <v>861817.55900772964</v>
      </c>
      <c r="J107" s="509">
        <f t="shared" si="2"/>
        <v>0</v>
      </c>
      <c r="K107" s="509"/>
      <c r="L107" s="513">
        <v>1050369</v>
      </c>
      <c r="M107" s="509">
        <f t="shared" si="3"/>
        <v>-188551.44099227036</v>
      </c>
      <c r="N107" s="513">
        <v>1050369</v>
      </c>
      <c r="O107" s="509">
        <f t="shared" si="4"/>
        <v>-188551.44099227036</v>
      </c>
      <c r="P107" s="509">
        <f t="shared" si="5"/>
        <v>0</v>
      </c>
      <c r="Q107" s="471"/>
    </row>
    <row r="108" spans="1:17">
      <c r="C108" s="505">
        <f>IF(D96="","-",+C107+1)</f>
        <v>2015</v>
      </c>
      <c r="D108" s="469">
        <f t="shared" si="6"/>
        <v>4797978.4235119065</v>
      </c>
      <c r="E108" s="511">
        <f t="shared" si="7"/>
        <v>132358.02547619049</v>
      </c>
      <c r="F108" s="511">
        <f t="shared" si="0"/>
        <v>4665620.3980357163</v>
      </c>
      <c r="G108" s="469">
        <f t="shared" si="1"/>
        <v>4731799.4107738119</v>
      </c>
      <c r="H108" s="506">
        <f>+J97*G108+E108</f>
        <v>841968.32000006887</v>
      </c>
      <c r="I108" s="512">
        <f>+J98*G108+E108</f>
        <v>841968.32000006887</v>
      </c>
      <c r="J108" s="509">
        <f t="shared" si="2"/>
        <v>0</v>
      </c>
      <c r="K108" s="509"/>
      <c r="L108" s="513">
        <v>1028335</v>
      </c>
      <c r="M108" s="509">
        <f t="shared" si="3"/>
        <v>-186366.67999993113</v>
      </c>
      <c r="N108" s="513">
        <v>1028335</v>
      </c>
      <c r="O108" s="509">
        <f t="shared" si="4"/>
        <v>-186366.67999993113</v>
      </c>
      <c r="P108" s="509">
        <f t="shared" si="5"/>
        <v>0</v>
      </c>
      <c r="Q108" s="471"/>
    </row>
    <row r="109" spans="1:17">
      <c r="C109" s="505">
        <f>IF(D96="","-",+C108+1)</f>
        <v>2016</v>
      </c>
      <c r="D109" s="469">
        <f t="shared" si="6"/>
        <v>4665620.3980357163</v>
      </c>
      <c r="E109" s="511">
        <f t="shared" si="7"/>
        <v>132358.02547619049</v>
      </c>
      <c r="F109" s="511">
        <f t="shared" si="0"/>
        <v>4533262.372559526</v>
      </c>
      <c r="G109" s="469">
        <f t="shared" si="1"/>
        <v>4599441.3852976207</v>
      </c>
      <c r="H109" s="506">
        <f>+J97*G109+E109</f>
        <v>822119.08099240786</v>
      </c>
      <c r="I109" s="512">
        <f>+J98*G109+E109</f>
        <v>822119.08099240786</v>
      </c>
      <c r="J109" s="509">
        <f t="shared" si="2"/>
        <v>0</v>
      </c>
      <c r="K109" s="509"/>
      <c r="L109" s="513">
        <v>989594</v>
      </c>
      <c r="M109" s="509">
        <f t="shared" si="3"/>
        <v>-167474.91900759214</v>
      </c>
      <c r="N109" s="513">
        <v>989594</v>
      </c>
      <c r="O109" s="509">
        <f t="shared" si="4"/>
        <v>-167474.91900759214</v>
      </c>
      <c r="P109" s="509">
        <f t="shared" si="5"/>
        <v>0</v>
      </c>
      <c r="Q109" s="471"/>
    </row>
    <row r="110" spans="1:17">
      <c r="C110" s="505">
        <f>IF(D96="","-",+C109+1)</f>
        <v>2017</v>
      </c>
      <c r="D110" s="469">
        <f t="shared" si="6"/>
        <v>4533262.372559526</v>
      </c>
      <c r="E110" s="511">
        <f t="shared" si="7"/>
        <v>132358.02547619049</v>
      </c>
      <c r="F110" s="511">
        <f t="shared" si="0"/>
        <v>4400904.3470833357</v>
      </c>
      <c r="G110" s="469">
        <f t="shared" si="1"/>
        <v>4467083.3598214313</v>
      </c>
      <c r="H110" s="506">
        <f>+J97*G110+E110</f>
        <v>802269.84198474709</v>
      </c>
      <c r="I110" s="512">
        <f>+J98*G110+E110</f>
        <v>802269.84198474709</v>
      </c>
      <c r="J110" s="509">
        <f t="shared" si="2"/>
        <v>0</v>
      </c>
      <c r="K110" s="509"/>
      <c r="L110" s="513">
        <v>996311</v>
      </c>
      <c r="M110" s="509">
        <f t="shared" si="3"/>
        <v>-194041.15801525291</v>
      </c>
      <c r="N110" s="513">
        <v>996311</v>
      </c>
      <c r="O110" s="509">
        <f t="shared" si="4"/>
        <v>-194041.15801525291</v>
      </c>
      <c r="P110" s="509">
        <f t="shared" si="5"/>
        <v>0</v>
      </c>
      <c r="Q110" s="471"/>
    </row>
    <row r="111" spans="1:17">
      <c r="C111" s="505">
        <f>IF(D96="","-",+C110+1)</f>
        <v>2018</v>
      </c>
      <c r="D111" s="469">
        <f t="shared" si="6"/>
        <v>4400904.3470833357</v>
      </c>
      <c r="E111" s="511">
        <f t="shared" si="7"/>
        <v>132358.02547619049</v>
      </c>
      <c r="F111" s="511">
        <f t="shared" si="0"/>
        <v>4268546.3216071455</v>
      </c>
      <c r="G111" s="469">
        <f t="shared" si="1"/>
        <v>4334725.3343452401</v>
      </c>
      <c r="H111" s="506">
        <f>+J97*G111+E111</f>
        <v>782420.60297708609</v>
      </c>
      <c r="I111" s="512">
        <f>+J98*G111+E111</f>
        <v>782420.60297708609</v>
      </c>
      <c r="J111" s="509">
        <f t="shared" si="2"/>
        <v>0</v>
      </c>
      <c r="K111" s="509"/>
      <c r="L111" s="513">
        <v>790538</v>
      </c>
      <c r="M111" s="509">
        <f t="shared" si="3"/>
        <v>-8117.3970229139086</v>
      </c>
      <c r="N111" s="513">
        <v>790538</v>
      </c>
      <c r="O111" s="509">
        <f t="shared" si="4"/>
        <v>-8117.3970229139086</v>
      </c>
      <c r="P111" s="509">
        <f t="shared" si="5"/>
        <v>0</v>
      </c>
      <c r="Q111" s="471"/>
    </row>
    <row r="112" spans="1:17">
      <c r="C112" s="505">
        <f>IF(D96="","-",+C111+1)</f>
        <v>2019</v>
      </c>
      <c r="D112" s="469">
        <f t="shared" si="6"/>
        <v>4268546.3216071455</v>
      </c>
      <c r="E112" s="511">
        <f t="shared" si="7"/>
        <v>132358.02547619049</v>
      </c>
      <c r="F112" s="511">
        <f t="shared" si="0"/>
        <v>4136188.2961309552</v>
      </c>
      <c r="G112" s="469">
        <f t="shared" si="1"/>
        <v>4202367.3088690508</v>
      </c>
      <c r="H112" s="506">
        <f>+J97*G112+E112</f>
        <v>762571.36396942532</v>
      </c>
      <c r="I112" s="512">
        <f>+J98*G112+E112</f>
        <v>762571.36396942532</v>
      </c>
      <c r="J112" s="509">
        <f t="shared" si="2"/>
        <v>0</v>
      </c>
      <c r="K112" s="509"/>
      <c r="L112" s="513">
        <v>766759</v>
      </c>
      <c r="M112" s="509">
        <f t="shared" si="3"/>
        <v>-4187.6360305746784</v>
      </c>
      <c r="N112" s="513">
        <v>766759</v>
      </c>
      <c r="O112" s="509">
        <f t="shared" si="4"/>
        <v>-4187.6360305746784</v>
      </c>
      <c r="P112" s="509">
        <f t="shared" si="5"/>
        <v>0</v>
      </c>
      <c r="Q112" s="471"/>
    </row>
    <row r="113" spans="3:17">
      <c r="C113" s="505">
        <f>IF(D96="","-",+C112+1)</f>
        <v>2020</v>
      </c>
      <c r="D113" s="469">
        <f t="shared" si="6"/>
        <v>4136188.2961309552</v>
      </c>
      <c r="E113" s="511">
        <f t="shared" si="7"/>
        <v>132358.02547619049</v>
      </c>
      <c r="F113" s="511">
        <f t="shared" si="0"/>
        <v>4003830.270654765</v>
      </c>
      <c r="G113" s="469">
        <f t="shared" si="1"/>
        <v>4070009.2833928601</v>
      </c>
      <c r="H113" s="506">
        <f>+J97*G113+E113</f>
        <v>742722.12496176432</v>
      </c>
      <c r="I113" s="512">
        <f>+J98*G113+E113</f>
        <v>742722.12496176432</v>
      </c>
      <c r="J113" s="509">
        <f t="shared" si="2"/>
        <v>0</v>
      </c>
      <c r="K113" s="509"/>
      <c r="L113" s="513">
        <v>736885.36045477365</v>
      </c>
      <c r="M113" s="509">
        <f t="shared" si="3"/>
        <v>5836.7645069906721</v>
      </c>
      <c r="N113" s="513">
        <v>736885.36045477365</v>
      </c>
      <c r="O113" s="509">
        <f t="shared" si="4"/>
        <v>5836.7645069906721</v>
      </c>
      <c r="P113" s="509">
        <f t="shared" si="5"/>
        <v>0</v>
      </c>
      <c r="Q113" s="471"/>
    </row>
    <row r="114" spans="3:17">
      <c r="C114" s="505">
        <f>IF(D96="","-",+C113+1)</f>
        <v>2021</v>
      </c>
      <c r="D114" s="469">
        <f t="shared" si="6"/>
        <v>4003830.270654765</v>
      </c>
      <c r="E114" s="511">
        <f t="shared" si="7"/>
        <v>132358.02547619049</v>
      </c>
      <c r="F114" s="511">
        <f t="shared" si="0"/>
        <v>3871472.2451785747</v>
      </c>
      <c r="G114" s="469">
        <f t="shared" si="1"/>
        <v>3937651.2579166698</v>
      </c>
      <c r="H114" s="506">
        <f>+J97*G114+E114</f>
        <v>722872.88595410343</v>
      </c>
      <c r="I114" s="512">
        <f>+J98*G114+E114</f>
        <v>722872.88595410343</v>
      </c>
      <c r="J114" s="509">
        <f t="shared" si="2"/>
        <v>0</v>
      </c>
      <c r="K114" s="509"/>
      <c r="L114" s="513">
        <v>701369.77974855609</v>
      </c>
      <c r="M114" s="509">
        <f t="shared" si="3"/>
        <v>21503.106205547345</v>
      </c>
      <c r="N114" s="513">
        <v>701369.77974855609</v>
      </c>
      <c r="O114" s="509">
        <f t="shared" si="4"/>
        <v>21503.106205547345</v>
      </c>
      <c r="P114" s="509">
        <f t="shared" si="5"/>
        <v>0</v>
      </c>
      <c r="Q114" s="471"/>
    </row>
    <row r="115" spans="3:17">
      <c r="C115" s="505">
        <f>IF(D96="","-",+C114+1)</f>
        <v>2022</v>
      </c>
      <c r="D115" s="469">
        <f t="shared" si="6"/>
        <v>3871472.2451785747</v>
      </c>
      <c r="E115" s="511">
        <f t="shared" si="7"/>
        <v>132358.02547619049</v>
      </c>
      <c r="F115" s="511">
        <f t="shared" si="0"/>
        <v>3739114.2197023844</v>
      </c>
      <c r="G115" s="469">
        <f t="shared" si="1"/>
        <v>3805293.2324404796</v>
      </c>
      <c r="H115" s="506">
        <f>+J97*G115+E115</f>
        <v>703023.64694644255</v>
      </c>
      <c r="I115" s="512">
        <f>+J98*G115+E115</f>
        <v>703023.64694644255</v>
      </c>
      <c r="J115" s="509">
        <f t="shared" si="2"/>
        <v>0</v>
      </c>
      <c r="K115" s="509"/>
      <c r="L115" s="513">
        <v>686012.80314971914</v>
      </c>
      <c r="M115" s="509">
        <f t="shared" si="3"/>
        <v>17010.843796723406</v>
      </c>
      <c r="N115" s="513">
        <v>686012.80314971914</v>
      </c>
      <c r="O115" s="509">
        <f t="shared" si="4"/>
        <v>17010.843796723406</v>
      </c>
      <c r="P115" s="509">
        <f t="shared" si="5"/>
        <v>0</v>
      </c>
      <c r="Q115" s="471"/>
    </row>
    <row r="116" spans="3:17">
      <c r="C116" s="505">
        <f>IF(D96="","-",+C115+1)</f>
        <v>2023</v>
      </c>
      <c r="D116" s="469">
        <f t="shared" si="6"/>
        <v>3739114.2197023844</v>
      </c>
      <c r="E116" s="511">
        <f t="shared" si="7"/>
        <v>132358.02547619049</v>
      </c>
      <c r="F116" s="511">
        <f t="shared" si="0"/>
        <v>3606756.1942261942</v>
      </c>
      <c r="G116" s="469">
        <f t="shared" si="1"/>
        <v>3672935.2069642893</v>
      </c>
      <c r="H116" s="506">
        <f>+J97*G116+E116</f>
        <v>683174.40793878166</v>
      </c>
      <c r="I116" s="512">
        <f>+J98*G116+E116</f>
        <v>683174.40793878166</v>
      </c>
      <c r="J116" s="509">
        <f t="shared" si="2"/>
        <v>0</v>
      </c>
      <c r="K116" s="509"/>
      <c r="L116" s="513">
        <v>693208.55984950904</v>
      </c>
      <c r="M116" s="509">
        <f t="shared" si="3"/>
        <v>-10034.151910727378</v>
      </c>
      <c r="N116" s="513">
        <v>693208.55984950904</v>
      </c>
      <c r="O116" s="509">
        <f t="shared" si="4"/>
        <v>-10034.151910727378</v>
      </c>
      <c r="P116" s="509">
        <f t="shared" si="5"/>
        <v>0</v>
      </c>
      <c r="Q116" s="471"/>
    </row>
    <row r="117" spans="3:17">
      <c r="C117" s="505">
        <f>IF(D96="","-",+C116+1)</f>
        <v>2024</v>
      </c>
      <c r="D117" s="469">
        <f t="shared" si="6"/>
        <v>3606756.1942261942</v>
      </c>
      <c r="E117" s="511">
        <f t="shared" si="7"/>
        <v>132358.02547619049</v>
      </c>
      <c r="F117" s="511">
        <f t="shared" si="0"/>
        <v>3474398.1687500039</v>
      </c>
      <c r="G117" s="469">
        <f t="shared" si="1"/>
        <v>3540577.181488099</v>
      </c>
      <c r="H117" s="506">
        <f>+J97*G117+E117</f>
        <v>663325.16893112077</v>
      </c>
      <c r="I117" s="512">
        <f>+J98*G117+E117</f>
        <v>663325.16893112077</v>
      </c>
      <c r="J117" s="509">
        <f t="shared" si="2"/>
        <v>0</v>
      </c>
      <c r="K117" s="509"/>
      <c r="L117" s="513">
        <v>670753.69361425017</v>
      </c>
      <c r="M117" s="509">
        <f t="shared" si="3"/>
        <v>-7428.5246831293916</v>
      </c>
      <c r="N117" s="513">
        <v>670753.69361425017</v>
      </c>
      <c r="O117" s="509">
        <f t="shared" si="4"/>
        <v>-7428.5246831293916</v>
      </c>
      <c r="P117" s="509">
        <f t="shared" si="5"/>
        <v>0</v>
      </c>
      <c r="Q117" s="471"/>
    </row>
    <row r="118" spans="3:17">
      <c r="C118" s="505">
        <f>IF(D96="","-",+C117+1)</f>
        <v>2025</v>
      </c>
      <c r="D118" s="469">
        <f t="shared" si="6"/>
        <v>3474398.1687500039</v>
      </c>
      <c r="E118" s="511">
        <f t="shared" si="7"/>
        <v>132358.02547619049</v>
      </c>
      <c r="F118" s="511">
        <f t="shared" si="0"/>
        <v>3342040.1432738137</v>
      </c>
      <c r="G118" s="469">
        <f t="shared" si="1"/>
        <v>3408219.1560119088</v>
      </c>
      <c r="H118" s="506">
        <f>+J97*G118+E118</f>
        <v>643475.92992345989</v>
      </c>
      <c r="I118" s="512">
        <f>+J98*G118+E118</f>
        <v>643475.92992345989</v>
      </c>
      <c r="J118" s="509">
        <f t="shared" si="2"/>
        <v>0</v>
      </c>
      <c r="K118" s="509"/>
      <c r="L118" s="513">
        <v>629737.72105424246</v>
      </c>
      <c r="M118" s="509">
        <f t="shared" si="3"/>
        <v>13738.208869217429</v>
      </c>
      <c r="N118" s="513">
        <v>629737.72105424246</v>
      </c>
      <c r="O118" s="509">
        <f t="shared" si="4"/>
        <v>13738.208869217429</v>
      </c>
      <c r="P118" s="509">
        <f t="shared" si="5"/>
        <v>0</v>
      </c>
      <c r="Q118" s="471"/>
    </row>
    <row r="119" spans="3:17">
      <c r="C119" s="505">
        <f>IF(D96="","-",+C118+1)</f>
        <v>2026</v>
      </c>
      <c r="D119" s="469">
        <f t="shared" si="6"/>
        <v>3342040.1432738137</v>
      </c>
      <c r="E119" s="511">
        <f t="shared" si="7"/>
        <v>132358.02547619049</v>
      </c>
      <c r="F119" s="511">
        <f t="shared" si="0"/>
        <v>3209682.1177976234</v>
      </c>
      <c r="G119" s="469">
        <f t="shared" si="1"/>
        <v>3275861.1305357185</v>
      </c>
      <c r="H119" s="506">
        <f>+J97*G119+E119</f>
        <v>623626.690915799</v>
      </c>
      <c r="I119" s="512">
        <f>+J98*G119+E119</f>
        <v>623626.690915799</v>
      </c>
      <c r="J119" s="509">
        <f t="shared" si="2"/>
        <v>0</v>
      </c>
      <c r="K119" s="509"/>
      <c r="L119" s="513"/>
      <c r="M119" s="509">
        <f t="shared" si="3"/>
        <v>0</v>
      </c>
      <c r="N119" s="513"/>
      <c r="O119" s="509">
        <f t="shared" si="4"/>
        <v>0</v>
      </c>
      <c r="P119" s="509">
        <f t="shared" si="5"/>
        <v>0</v>
      </c>
      <c r="Q119" s="471"/>
    </row>
    <row r="120" spans="3:17">
      <c r="C120" s="505">
        <f>IF(D96="","-",+C119+1)</f>
        <v>2027</v>
      </c>
      <c r="D120" s="469">
        <f t="shared" si="6"/>
        <v>3209682.1177976234</v>
      </c>
      <c r="E120" s="511">
        <f t="shared" si="7"/>
        <v>132358.02547619049</v>
      </c>
      <c r="F120" s="511">
        <f t="shared" si="0"/>
        <v>3077324.0923214331</v>
      </c>
      <c r="G120" s="469">
        <f t="shared" si="1"/>
        <v>3143503.1050595283</v>
      </c>
      <c r="H120" s="506">
        <f>+J97*G120+E120</f>
        <v>603777.45190813811</v>
      </c>
      <c r="I120" s="512">
        <f>+J98*G120+E120</f>
        <v>603777.45190813811</v>
      </c>
      <c r="J120" s="509">
        <f t="shared" si="2"/>
        <v>0</v>
      </c>
      <c r="K120" s="509"/>
      <c r="L120" s="513"/>
      <c r="M120" s="509">
        <f t="shared" si="3"/>
        <v>0</v>
      </c>
      <c r="N120" s="513"/>
      <c r="O120" s="509">
        <f t="shared" si="4"/>
        <v>0</v>
      </c>
      <c r="P120" s="509">
        <f t="shared" si="5"/>
        <v>0</v>
      </c>
      <c r="Q120" s="471"/>
    </row>
    <row r="121" spans="3:17">
      <c r="C121" s="505">
        <f>IF(D96="","-",+C120+1)</f>
        <v>2028</v>
      </c>
      <c r="D121" s="469">
        <f t="shared" si="6"/>
        <v>3077324.0923214331</v>
      </c>
      <c r="E121" s="511">
        <f t="shared" si="7"/>
        <v>132358.02547619049</v>
      </c>
      <c r="F121" s="511">
        <f t="shared" si="0"/>
        <v>2944966.0668452429</v>
      </c>
      <c r="G121" s="469">
        <f t="shared" si="1"/>
        <v>3011145.079583338</v>
      </c>
      <c r="H121" s="506">
        <f>+J97*G121+E121</f>
        <v>583928.21290047723</v>
      </c>
      <c r="I121" s="512">
        <f>+J98*G121+E121</f>
        <v>583928.21290047723</v>
      </c>
      <c r="J121" s="509">
        <f t="shared" si="2"/>
        <v>0</v>
      </c>
      <c r="K121" s="509"/>
      <c r="L121" s="513"/>
      <c r="M121" s="509">
        <f t="shared" si="3"/>
        <v>0</v>
      </c>
      <c r="N121" s="513"/>
      <c r="O121" s="509">
        <f t="shared" si="4"/>
        <v>0</v>
      </c>
      <c r="P121" s="509">
        <f t="shared" si="5"/>
        <v>0</v>
      </c>
      <c r="Q121" s="471"/>
    </row>
    <row r="122" spans="3:17">
      <c r="C122" s="505">
        <f>IF(D96="","-",+C121+1)</f>
        <v>2029</v>
      </c>
      <c r="D122" s="469">
        <f t="shared" si="6"/>
        <v>2944966.0668452429</v>
      </c>
      <c r="E122" s="511">
        <f t="shared" si="7"/>
        <v>132358.02547619049</v>
      </c>
      <c r="F122" s="511">
        <f t="shared" si="0"/>
        <v>2812608.0413690526</v>
      </c>
      <c r="G122" s="469">
        <f t="shared" si="1"/>
        <v>2878787.0541071477</v>
      </c>
      <c r="H122" s="506">
        <f>+J97*G122+E122</f>
        <v>564078.97389281634</v>
      </c>
      <c r="I122" s="512">
        <f>+J98*G122+E122</f>
        <v>564078.97389281634</v>
      </c>
      <c r="J122" s="509">
        <f t="shared" si="2"/>
        <v>0</v>
      </c>
      <c r="K122" s="509"/>
      <c r="L122" s="513"/>
      <c r="M122" s="509">
        <f t="shared" si="3"/>
        <v>0</v>
      </c>
      <c r="N122" s="513"/>
      <c r="O122" s="509">
        <f t="shared" si="4"/>
        <v>0</v>
      </c>
      <c r="P122" s="509">
        <f t="shared" si="5"/>
        <v>0</v>
      </c>
      <c r="Q122" s="471"/>
    </row>
    <row r="123" spans="3:17">
      <c r="C123" s="505">
        <f>IF(D96="","-",+C122+1)</f>
        <v>2030</v>
      </c>
      <c r="D123" s="469">
        <f t="shared" si="6"/>
        <v>2812608.0413690526</v>
      </c>
      <c r="E123" s="511">
        <f t="shared" si="7"/>
        <v>132358.02547619049</v>
      </c>
      <c r="F123" s="511">
        <f t="shared" si="0"/>
        <v>2680250.0158928623</v>
      </c>
      <c r="G123" s="469">
        <f t="shared" si="1"/>
        <v>2746429.0286309575</v>
      </c>
      <c r="H123" s="506">
        <f>+J97*G123+E123</f>
        <v>544229.73488515546</v>
      </c>
      <c r="I123" s="512">
        <f>+J98*G123+E123</f>
        <v>544229.73488515546</v>
      </c>
      <c r="J123" s="509">
        <f t="shared" si="2"/>
        <v>0</v>
      </c>
      <c r="K123" s="509"/>
      <c r="L123" s="513"/>
      <c r="M123" s="509">
        <f t="shared" si="3"/>
        <v>0</v>
      </c>
      <c r="N123" s="513"/>
      <c r="O123" s="509">
        <f t="shared" si="4"/>
        <v>0</v>
      </c>
      <c r="P123" s="509">
        <f t="shared" si="5"/>
        <v>0</v>
      </c>
      <c r="Q123" s="471"/>
    </row>
    <row r="124" spans="3:17">
      <c r="C124" s="505">
        <f>IF(D96="","-",+C123+1)</f>
        <v>2031</v>
      </c>
      <c r="D124" s="469">
        <f t="shared" si="6"/>
        <v>2680250.0158928623</v>
      </c>
      <c r="E124" s="511">
        <f t="shared" si="7"/>
        <v>132358.02547619049</v>
      </c>
      <c r="F124" s="511">
        <f t="shared" si="0"/>
        <v>2547891.9904166721</v>
      </c>
      <c r="G124" s="469">
        <f t="shared" si="1"/>
        <v>2614071.0031547672</v>
      </c>
      <c r="H124" s="506">
        <f>+J97*G124+E124</f>
        <v>524380.49587749457</v>
      </c>
      <c r="I124" s="512">
        <f>+J98*G124+E124</f>
        <v>524380.49587749457</v>
      </c>
      <c r="J124" s="509">
        <f t="shared" si="2"/>
        <v>0</v>
      </c>
      <c r="K124" s="509"/>
      <c r="L124" s="513"/>
      <c r="M124" s="509">
        <f t="shared" si="3"/>
        <v>0</v>
      </c>
      <c r="N124" s="513"/>
      <c r="O124" s="509">
        <f t="shared" si="4"/>
        <v>0</v>
      </c>
      <c r="P124" s="509">
        <f t="shared" si="5"/>
        <v>0</v>
      </c>
      <c r="Q124" s="471"/>
    </row>
    <row r="125" spans="3:17">
      <c r="C125" s="505">
        <f>IF(D96="","-",+C124+1)</f>
        <v>2032</v>
      </c>
      <c r="D125" s="469">
        <f t="shared" si="6"/>
        <v>2547891.9904166721</v>
      </c>
      <c r="E125" s="511">
        <f t="shared" si="7"/>
        <v>132358.02547619049</v>
      </c>
      <c r="F125" s="511">
        <f t="shared" si="0"/>
        <v>2415533.9649404818</v>
      </c>
      <c r="G125" s="469">
        <f t="shared" si="1"/>
        <v>2481712.9776785769</v>
      </c>
      <c r="H125" s="506">
        <f>+J97*G125+E125</f>
        <v>504531.25686983363</v>
      </c>
      <c r="I125" s="512">
        <f>+J98*G125+E125</f>
        <v>504531.25686983363</v>
      </c>
      <c r="J125" s="509">
        <f t="shared" si="2"/>
        <v>0</v>
      </c>
      <c r="K125" s="509"/>
      <c r="L125" s="513"/>
      <c r="M125" s="509">
        <f t="shared" si="3"/>
        <v>0</v>
      </c>
      <c r="N125" s="513"/>
      <c r="O125" s="509">
        <f t="shared" si="4"/>
        <v>0</v>
      </c>
      <c r="P125" s="509">
        <f t="shared" si="5"/>
        <v>0</v>
      </c>
      <c r="Q125" s="471"/>
    </row>
    <row r="126" spans="3:17">
      <c r="C126" s="505">
        <f>IF(D96="","-",+C125+1)</f>
        <v>2033</v>
      </c>
      <c r="D126" s="469">
        <f t="shared" si="6"/>
        <v>2415533.9649404818</v>
      </c>
      <c r="E126" s="511">
        <f t="shared" si="7"/>
        <v>132358.02547619049</v>
      </c>
      <c r="F126" s="511">
        <f t="shared" si="0"/>
        <v>2283175.9394642916</v>
      </c>
      <c r="G126" s="469">
        <f t="shared" si="1"/>
        <v>2349354.9522023867</v>
      </c>
      <c r="H126" s="506">
        <f>+J97*G126+E126</f>
        <v>484682.01786217274</v>
      </c>
      <c r="I126" s="512">
        <f>+J98*G126+E126</f>
        <v>484682.01786217274</v>
      </c>
      <c r="J126" s="509">
        <f t="shared" si="2"/>
        <v>0</v>
      </c>
      <c r="K126" s="509"/>
      <c r="L126" s="513"/>
      <c r="M126" s="509">
        <f t="shared" si="3"/>
        <v>0</v>
      </c>
      <c r="N126" s="513"/>
      <c r="O126" s="509">
        <f t="shared" si="4"/>
        <v>0</v>
      </c>
      <c r="P126" s="509">
        <f t="shared" si="5"/>
        <v>0</v>
      </c>
      <c r="Q126" s="471"/>
    </row>
    <row r="127" spans="3:17">
      <c r="C127" s="505">
        <f>IF(D96="","-",+C126+1)</f>
        <v>2034</v>
      </c>
      <c r="D127" s="469">
        <f t="shared" si="6"/>
        <v>2283175.9394642916</v>
      </c>
      <c r="E127" s="511">
        <f t="shared" si="7"/>
        <v>132358.02547619049</v>
      </c>
      <c r="F127" s="511">
        <f t="shared" si="0"/>
        <v>2150817.9139881013</v>
      </c>
      <c r="G127" s="469">
        <f t="shared" si="1"/>
        <v>2216996.9267261964</v>
      </c>
      <c r="H127" s="506">
        <f>+J97*G127+E127</f>
        <v>464832.77885451185</v>
      </c>
      <c r="I127" s="512">
        <f>+J98*G127+E127</f>
        <v>464832.77885451185</v>
      </c>
      <c r="J127" s="509">
        <f t="shared" si="2"/>
        <v>0</v>
      </c>
      <c r="K127" s="509"/>
      <c r="L127" s="513"/>
      <c r="M127" s="509">
        <f t="shared" si="3"/>
        <v>0</v>
      </c>
      <c r="N127" s="513"/>
      <c r="O127" s="509">
        <f t="shared" si="4"/>
        <v>0</v>
      </c>
      <c r="P127" s="509">
        <f t="shared" si="5"/>
        <v>0</v>
      </c>
      <c r="Q127" s="471"/>
    </row>
    <row r="128" spans="3:17">
      <c r="C128" s="505">
        <f>IF(D96="","-",+C127+1)</f>
        <v>2035</v>
      </c>
      <c r="D128" s="469">
        <f t="shared" si="6"/>
        <v>2150817.9139881013</v>
      </c>
      <c r="E128" s="511">
        <f t="shared" si="7"/>
        <v>132358.02547619049</v>
      </c>
      <c r="F128" s="511">
        <f t="shared" si="0"/>
        <v>2018459.8885119108</v>
      </c>
      <c r="G128" s="469">
        <f t="shared" si="1"/>
        <v>2084638.9012500062</v>
      </c>
      <c r="H128" s="506">
        <f>+J97*G128+E128</f>
        <v>444983.53984685097</v>
      </c>
      <c r="I128" s="512">
        <f>+J98*G128+E128</f>
        <v>444983.53984685097</v>
      </c>
      <c r="J128" s="509">
        <f t="shared" si="2"/>
        <v>0</v>
      </c>
      <c r="K128" s="509"/>
      <c r="L128" s="513"/>
      <c r="M128" s="509">
        <f t="shared" si="3"/>
        <v>0</v>
      </c>
      <c r="N128" s="513"/>
      <c r="O128" s="509">
        <f t="shared" si="4"/>
        <v>0</v>
      </c>
      <c r="P128" s="509">
        <f t="shared" si="5"/>
        <v>0</v>
      </c>
      <c r="Q128" s="471"/>
    </row>
    <row r="129" spans="3:17">
      <c r="C129" s="505">
        <f>IF(D96="","-",+C128+1)</f>
        <v>2036</v>
      </c>
      <c r="D129" s="469">
        <f t="shared" si="6"/>
        <v>2018459.8885119108</v>
      </c>
      <c r="E129" s="511">
        <f t="shared" si="7"/>
        <v>132358.02547619049</v>
      </c>
      <c r="F129" s="511">
        <f t="shared" si="0"/>
        <v>1886101.8630357203</v>
      </c>
      <c r="G129" s="469">
        <f t="shared" si="1"/>
        <v>1952280.8757738154</v>
      </c>
      <c r="H129" s="506">
        <f>+J97*G129+E129</f>
        <v>425134.30083919002</v>
      </c>
      <c r="I129" s="512">
        <f>+J98*G129+E129</f>
        <v>425134.30083919002</v>
      </c>
      <c r="J129" s="509">
        <f t="shared" si="2"/>
        <v>0</v>
      </c>
      <c r="K129" s="509"/>
      <c r="L129" s="513"/>
      <c r="M129" s="509">
        <f t="shared" si="3"/>
        <v>0</v>
      </c>
      <c r="N129" s="513"/>
      <c r="O129" s="509">
        <f t="shared" si="4"/>
        <v>0</v>
      </c>
      <c r="P129" s="509">
        <f t="shared" si="5"/>
        <v>0</v>
      </c>
      <c r="Q129" s="471"/>
    </row>
    <row r="130" spans="3:17">
      <c r="C130" s="505">
        <f>IF(D96="","-",+C129+1)</f>
        <v>2037</v>
      </c>
      <c r="D130" s="469">
        <f t="shared" si="6"/>
        <v>1886101.8630357203</v>
      </c>
      <c r="E130" s="511">
        <f t="shared" si="7"/>
        <v>132358.02547619049</v>
      </c>
      <c r="F130" s="511">
        <f t="shared" si="0"/>
        <v>1753743.8375595298</v>
      </c>
      <c r="G130" s="469">
        <f t="shared" si="1"/>
        <v>1819922.8502976252</v>
      </c>
      <c r="H130" s="506">
        <f>+J97*G130+E130</f>
        <v>405285.06183152914</v>
      </c>
      <c r="I130" s="512">
        <f>+J98*G130+E130</f>
        <v>405285.06183152914</v>
      </c>
      <c r="J130" s="509">
        <f t="shared" si="2"/>
        <v>0</v>
      </c>
      <c r="K130" s="509"/>
      <c r="L130" s="513"/>
      <c r="M130" s="509">
        <f t="shared" si="3"/>
        <v>0</v>
      </c>
      <c r="N130" s="513"/>
      <c r="O130" s="509">
        <f t="shared" si="4"/>
        <v>0</v>
      </c>
      <c r="P130" s="509">
        <f t="shared" si="5"/>
        <v>0</v>
      </c>
      <c r="Q130" s="471"/>
    </row>
    <row r="131" spans="3:17">
      <c r="C131" s="505">
        <f>IF(D96="","-",+C130+1)</f>
        <v>2038</v>
      </c>
      <c r="D131" s="469">
        <f t="shared" si="6"/>
        <v>1753743.8375595298</v>
      </c>
      <c r="E131" s="511">
        <f t="shared" si="7"/>
        <v>132358.02547619049</v>
      </c>
      <c r="F131" s="511">
        <f t="shared" si="0"/>
        <v>1621385.8120833393</v>
      </c>
      <c r="G131" s="469">
        <f t="shared" si="1"/>
        <v>1687564.8248214344</v>
      </c>
      <c r="H131" s="506">
        <f>+J97*G131+E131</f>
        <v>385435.82282386813</v>
      </c>
      <c r="I131" s="512">
        <f>+J98*G131+E131</f>
        <v>385435.82282386813</v>
      </c>
      <c r="J131" s="509">
        <f t="shared" si="2"/>
        <v>0</v>
      </c>
      <c r="K131" s="509"/>
      <c r="L131" s="513"/>
      <c r="M131" s="509">
        <f t="shared" si="3"/>
        <v>0</v>
      </c>
      <c r="N131" s="513"/>
      <c r="O131" s="509">
        <f t="shared" si="4"/>
        <v>0</v>
      </c>
      <c r="P131" s="509">
        <f t="shared" si="5"/>
        <v>0</v>
      </c>
      <c r="Q131" s="471"/>
    </row>
    <row r="132" spans="3:17">
      <c r="C132" s="505">
        <f>IF(D96="","-",+C131+1)</f>
        <v>2039</v>
      </c>
      <c r="D132" s="469">
        <f t="shared" si="6"/>
        <v>1621385.8120833393</v>
      </c>
      <c r="E132" s="511">
        <f t="shared" si="7"/>
        <v>132358.02547619049</v>
      </c>
      <c r="F132" s="511">
        <f t="shared" si="0"/>
        <v>1489027.7866071488</v>
      </c>
      <c r="G132" s="469">
        <f t="shared" si="1"/>
        <v>1555206.7993452442</v>
      </c>
      <c r="H132" s="506">
        <f>+J97*G132+E132</f>
        <v>365586.58381620725</v>
      </c>
      <c r="I132" s="512">
        <f>+J98*G132+E132</f>
        <v>365586.58381620725</v>
      </c>
      <c r="J132" s="509">
        <f t="shared" si="2"/>
        <v>0</v>
      </c>
      <c r="K132" s="509"/>
      <c r="L132" s="513"/>
      <c r="M132" s="509">
        <f t="shared" si="3"/>
        <v>0</v>
      </c>
      <c r="N132" s="513"/>
      <c r="O132" s="509">
        <f t="shared" si="4"/>
        <v>0</v>
      </c>
      <c r="P132" s="509">
        <f t="shared" si="5"/>
        <v>0</v>
      </c>
      <c r="Q132" s="471"/>
    </row>
    <row r="133" spans="3:17">
      <c r="C133" s="505">
        <f>IF(D96="","-",+C132+1)</f>
        <v>2040</v>
      </c>
      <c r="D133" s="469">
        <f t="shared" si="6"/>
        <v>1489027.7866071488</v>
      </c>
      <c r="E133" s="511">
        <f t="shared" si="7"/>
        <v>132358.02547619049</v>
      </c>
      <c r="F133" s="511">
        <f t="shared" si="0"/>
        <v>1356669.7611309583</v>
      </c>
      <c r="G133" s="469">
        <f t="shared" si="1"/>
        <v>1422848.7738690535</v>
      </c>
      <c r="H133" s="506">
        <f>+J97*G133+E133</f>
        <v>345737.3448085463</v>
      </c>
      <c r="I133" s="512">
        <f>+J98*G133+E133</f>
        <v>345737.3448085463</v>
      </c>
      <c r="J133" s="509">
        <f t="shared" si="2"/>
        <v>0</v>
      </c>
      <c r="K133" s="509"/>
      <c r="L133" s="513"/>
      <c r="M133" s="509">
        <f t="shared" si="3"/>
        <v>0</v>
      </c>
      <c r="N133" s="513"/>
      <c r="O133" s="509">
        <f t="shared" si="4"/>
        <v>0</v>
      </c>
      <c r="P133" s="509">
        <f t="shared" si="5"/>
        <v>0</v>
      </c>
      <c r="Q133" s="471"/>
    </row>
    <row r="134" spans="3:17">
      <c r="C134" s="505">
        <f>IF(D96="","-",+C133+1)</f>
        <v>2041</v>
      </c>
      <c r="D134" s="469">
        <f t="shared" si="6"/>
        <v>1356669.7611309583</v>
      </c>
      <c r="E134" s="511">
        <f t="shared" si="7"/>
        <v>132358.02547619049</v>
      </c>
      <c r="F134" s="511">
        <f t="shared" ref="F134:F161" si="8">+D134-E134</f>
        <v>1224311.7356547678</v>
      </c>
      <c r="G134" s="469">
        <f t="shared" ref="G134:G161" si="9">+(D134+F134)/2</f>
        <v>1290490.7483928632</v>
      </c>
      <c r="H134" s="506">
        <f>+J97*G134+E134</f>
        <v>325888.10580088542</v>
      </c>
      <c r="I134" s="512">
        <f>+J98*G134+E134</f>
        <v>325888.10580088542</v>
      </c>
      <c r="J134" s="509">
        <f t="shared" ref="J134:J161" si="10">+I134-H134</f>
        <v>0</v>
      </c>
      <c r="K134" s="509"/>
      <c r="L134" s="513"/>
      <c r="M134" s="509">
        <f t="shared" ref="M134:M161" si="11">IF(L134&lt;&gt;0,+H134-L134,0)</f>
        <v>0</v>
      </c>
      <c r="N134" s="513"/>
      <c r="O134" s="509">
        <f t="shared" ref="O134:O161" si="12">IF(N134&lt;&gt;0,+I134-N134,0)</f>
        <v>0</v>
      </c>
      <c r="P134" s="509">
        <f t="shared" ref="P134:P161" si="13">+O134-M134</f>
        <v>0</v>
      </c>
      <c r="Q134" s="471"/>
    </row>
    <row r="135" spans="3:17">
      <c r="C135" s="505">
        <f>IF(D96="","-",+C134+1)</f>
        <v>2042</v>
      </c>
      <c r="D135" s="469">
        <f t="shared" ref="D135:D161" si="14">F134</f>
        <v>1224311.7356547678</v>
      </c>
      <c r="E135" s="511">
        <f t="shared" ref="E135:E161" si="15">IF(D135&gt;$J$99,$J$99,D135)</f>
        <v>132358.02547619049</v>
      </c>
      <c r="F135" s="511">
        <f t="shared" si="8"/>
        <v>1091953.7101785773</v>
      </c>
      <c r="G135" s="469">
        <f t="shared" si="9"/>
        <v>1158132.7229166725</v>
      </c>
      <c r="H135" s="506">
        <f>+J97*G135+E135</f>
        <v>306038.86679322447</v>
      </c>
      <c r="I135" s="512">
        <f>+J98*G135+E135</f>
        <v>306038.86679322447</v>
      </c>
      <c r="J135" s="509">
        <f t="shared" si="10"/>
        <v>0</v>
      </c>
      <c r="K135" s="509"/>
      <c r="L135" s="513"/>
      <c r="M135" s="509">
        <f t="shared" si="11"/>
        <v>0</v>
      </c>
      <c r="N135" s="513"/>
      <c r="O135" s="509">
        <f t="shared" si="12"/>
        <v>0</v>
      </c>
      <c r="P135" s="509">
        <f t="shared" si="13"/>
        <v>0</v>
      </c>
      <c r="Q135" s="471"/>
    </row>
    <row r="136" spans="3:17">
      <c r="C136" s="505">
        <f>IF(D96="","-",+C135+1)</f>
        <v>2043</v>
      </c>
      <c r="D136" s="469">
        <f t="shared" si="14"/>
        <v>1091953.7101785773</v>
      </c>
      <c r="E136" s="511">
        <f t="shared" si="15"/>
        <v>132358.02547619049</v>
      </c>
      <c r="F136" s="511">
        <f t="shared" si="8"/>
        <v>959595.68470238685</v>
      </c>
      <c r="G136" s="469">
        <f t="shared" si="9"/>
        <v>1025774.6974404821</v>
      </c>
      <c r="H136" s="506">
        <f>+J97*G136+E136</f>
        <v>286189.62778556353</v>
      </c>
      <c r="I136" s="512">
        <f>+J98*G136+E136</f>
        <v>286189.62778556353</v>
      </c>
      <c r="J136" s="509">
        <f t="shared" si="10"/>
        <v>0</v>
      </c>
      <c r="K136" s="509"/>
      <c r="L136" s="513"/>
      <c r="M136" s="509">
        <f t="shared" si="11"/>
        <v>0</v>
      </c>
      <c r="N136" s="513"/>
      <c r="O136" s="509">
        <f t="shared" si="12"/>
        <v>0</v>
      </c>
      <c r="P136" s="509">
        <f t="shared" si="13"/>
        <v>0</v>
      </c>
      <c r="Q136" s="471"/>
    </row>
    <row r="137" spans="3:17">
      <c r="C137" s="505">
        <f>IF(D96="","-",+C136+1)</f>
        <v>2044</v>
      </c>
      <c r="D137" s="469">
        <f t="shared" si="14"/>
        <v>959595.68470238685</v>
      </c>
      <c r="E137" s="511">
        <f t="shared" si="15"/>
        <v>132358.02547619049</v>
      </c>
      <c r="F137" s="511">
        <f t="shared" si="8"/>
        <v>827237.65922619635</v>
      </c>
      <c r="G137" s="469">
        <f t="shared" si="9"/>
        <v>893416.6719642916</v>
      </c>
      <c r="H137" s="506">
        <f>+J97*G137+E137</f>
        <v>266340.38877790258</v>
      </c>
      <c r="I137" s="512">
        <f>+J98*G137+E137</f>
        <v>266340.38877790258</v>
      </c>
      <c r="J137" s="509">
        <f t="shared" si="10"/>
        <v>0</v>
      </c>
      <c r="K137" s="509"/>
      <c r="L137" s="513"/>
      <c r="M137" s="509">
        <f t="shared" si="11"/>
        <v>0</v>
      </c>
      <c r="N137" s="513"/>
      <c r="O137" s="509">
        <f t="shared" si="12"/>
        <v>0</v>
      </c>
      <c r="P137" s="509">
        <f t="shared" si="13"/>
        <v>0</v>
      </c>
      <c r="Q137" s="471"/>
    </row>
    <row r="138" spans="3:17">
      <c r="C138" s="505">
        <f>IF(D96="","-",+C137+1)</f>
        <v>2045</v>
      </c>
      <c r="D138" s="469">
        <f t="shared" si="14"/>
        <v>827237.65922619635</v>
      </c>
      <c r="E138" s="511">
        <f t="shared" si="15"/>
        <v>132358.02547619049</v>
      </c>
      <c r="F138" s="511">
        <f t="shared" si="8"/>
        <v>694879.63375000586</v>
      </c>
      <c r="G138" s="469">
        <f t="shared" si="9"/>
        <v>761058.64648810111</v>
      </c>
      <c r="H138" s="506">
        <f>+J97*G138+E138</f>
        <v>246491.1497702417</v>
      </c>
      <c r="I138" s="512">
        <f>+J98*G138+E138</f>
        <v>246491.1497702417</v>
      </c>
      <c r="J138" s="509">
        <f t="shared" si="10"/>
        <v>0</v>
      </c>
      <c r="K138" s="509"/>
      <c r="L138" s="513"/>
      <c r="M138" s="509">
        <f t="shared" si="11"/>
        <v>0</v>
      </c>
      <c r="N138" s="513"/>
      <c r="O138" s="509">
        <f t="shared" si="12"/>
        <v>0</v>
      </c>
      <c r="P138" s="509">
        <f t="shared" si="13"/>
        <v>0</v>
      </c>
      <c r="Q138" s="471"/>
    </row>
    <row r="139" spans="3:17">
      <c r="C139" s="505">
        <f>IF(D96="","-",+C138+1)</f>
        <v>2046</v>
      </c>
      <c r="D139" s="469">
        <f t="shared" si="14"/>
        <v>694879.63375000586</v>
      </c>
      <c r="E139" s="511">
        <f t="shared" si="15"/>
        <v>132358.02547619049</v>
      </c>
      <c r="F139" s="511">
        <f t="shared" si="8"/>
        <v>562521.60827381536</v>
      </c>
      <c r="G139" s="469">
        <f t="shared" si="9"/>
        <v>628700.62101191061</v>
      </c>
      <c r="H139" s="506">
        <f>+J97*G139+E139</f>
        <v>226641.91076258075</v>
      </c>
      <c r="I139" s="512">
        <f>+J98*G139+E139</f>
        <v>226641.91076258075</v>
      </c>
      <c r="J139" s="509">
        <f t="shared" si="10"/>
        <v>0</v>
      </c>
      <c r="K139" s="509"/>
      <c r="L139" s="513"/>
      <c r="M139" s="509">
        <f t="shared" si="11"/>
        <v>0</v>
      </c>
      <c r="N139" s="513"/>
      <c r="O139" s="509">
        <f t="shared" si="12"/>
        <v>0</v>
      </c>
      <c r="P139" s="509">
        <f t="shared" si="13"/>
        <v>0</v>
      </c>
      <c r="Q139" s="471"/>
    </row>
    <row r="140" spans="3:17">
      <c r="C140" s="505">
        <f>IF(D96="","-",+C139+1)</f>
        <v>2047</v>
      </c>
      <c r="D140" s="469">
        <f t="shared" si="14"/>
        <v>562521.60827381536</v>
      </c>
      <c r="E140" s="511">
        <f t="shared" si="15"/>
        <v>132358.02547619049</v>
      </c>
      <c r="F140" s="511">
        <f t="shared" si="8"/>
        <v>430163.58279762487</v>
      </c>
      <c r="G140" s="469">
        <f t="shared" si="9"/>
        <v>496342.59553572012</v>
      </c>
      <c r="H140" s="506">
        <f>+J97*G140+E140</f>
        <v>206792.67175491984</v>
      </c>
      <c r="I140" s="512">
        <f>+J98*G140+E140</f>
        <v>206792.67175491984</v>
      </c>
      <c r="J140" s="509">
        <f t="shared" si="10"/>
        <v>0</v>
      </c>
      <c r="K140" s="509"/>
      <c r="L140" s="513"/>
      <c r="M140" s="509">
        <f t="shared" si="11"/>
        <v>0</v>
      </c>
      <c r="N140" s="513"/>
      <c r="O140" s="509">
        <f t="shared" si="12"/>
        <v>0</v>
      </c>
      <c r="P140" s="509">
        <f t="shared" si="13"/>
        <v>0</v>
      </c>
      <c r="Q140" s="471"/>
    </row>
    <row r="141" spans="3:17">
      <c r="C141" s="505">
        <f>IF(D96="","-",+C140+1)</f>
        <v>2048</v>
      </c>
      <c r="D141" s="469">
        <f t="shared" si="14"/>
        <v>430163.58279762487</v>
      </c>
      <c r="E141" s="511">
        <f t="shared" si="15"/>
        <v>132358.02547619049</v>
      </c>
      <c r="F141" s="511">
        <f t="shared" si="8"/>
        <v>297805.55732143437</v>
      </c>
      <c r="G141" s="469">
        <f t="shared" si="9"/>
        <v>363984.57005952962</v>
      </c>
      <c r="H141" s="506">
        <f>+J97*G141+E141</f>
        <v>186943.43274725892</v>
      </c>
      <c r="I141" s="512">
        <f>+J98*G141+E141</f>
        <v>186943.43274725892</v>
      </c>
      <c r="J141" s="509">
        <f t="shared" si="10"/>
        <v>0</v>
      </c>
      <c r="K141" s="509"/>
      <c r="L141" s="513"/>
      <c r="M141" s="509">
        <f t="shared" si="11"/>
        <v>0</v>
      </c>
      <c r="N141" s="513"/>
      <c r="O141" s="509">
        <f t="shared" si="12"/>
        <v>0</v>
      </c>
      <c r="P141" s="509">
        <f t="shared" si="13"/>
        <v>0</v>
      </c>
      <c r="Q141" s="471"/>
    </row>
    <row r="142" spans="3:17">
      <c r="C142" s="505">
        <f>IF(D96="","-",+C141+1)</f>
        <v>2049</v>
      </c>
      <c r="D142" s="469">
        <f t="shared" si="14"/>
        <v>297805.55732143437</v>
      </c>
      <c r="E142" s="511">
        <f t="shared" si="15"/>
        <v>132358.02547619049</v>
      </c>
      <c r="F142" s="511">
        <f t="shared" si="8"/>
        <v>165447.53184524388</v>
      </c>
      <c r="G142" s="469">
        <f t="shared" si="9"/>
        <v>231626.54458333913</v>
      </c>
      <c r="H142" s="506">
        <f>+J97*G142+E142</f>
        <v>167094.19373959798</v>
      </c>
      <c r="I142" s="512">
        <f>+J98*G142+E142</f>
        <v>167094.19373959798</v>
      </c>
      <c r="J142" s="509">
        <f t="shared" si="10"/>
        <v>0</v>
      </c>
      <c r="K142" s="509"/>
      <c r="L142" s="513"/>
      <c r="M142" s="509">
        <f t="shared" si="11"/>
        <v>0</v>
      </c>
      <c r="N142" s="513"/>
      <c r="O142" s="509">
        <f t="shared" si="12"/>
        <v>0</v>
      </c>
      <c r="P142" s="509">
        <f t="shared" si="13"/>
        <v>0</v>
      </c>
      <c r="Q142" s="471"/>
    </row>
    <row r="143" spans="3:17">
      <c r="C143" s="505">
        <f>IF(D96="","-",+C142+1)</f>
        <v>2050</v>
      </c>
      <c r="D143" s="469">
        <f t="shared" si="14"/>
        <v>165447.53184524388</v>
      </c>
      <c r="E143" s="511">
        <f t="shared" si="15"/>
        <v>132358.02547619049</v>
      </c>
      <c r="F143" s="511">
        <f t="shared" si="8"/>
        <v>33089.506369053386</v>
      </c>
      <c r="G143" s="469">
        <f t="shared" si="9"/>
        <v>99268.519107148633</v>
      </c>
      <c r="H143" s="506">
        <f>+J97*G143+E143</f>
        <v>147244.95473193706</v>
      </c>
      <c r="I143" s="512">
        <f>+J98*G143+E143</f>
        <v>147244.95473193706</v>
      </c>
      <c r="J143" s="509">
        <f t="shared" si="10"/>
        <v>0</v>
      </c>
      <c r="K143" s="509"/>
      <c r="L143" s="513"/>
      <c r="M143" s="509">
        <f t="shared" si="11"/>
        <v>0</v>
      </c>
      <c r="N143" s="513"/>
      <c r="O143" s="509">
        <f t="shared" si="12"/>
        <v>0</v>
      </c>
      <c r="P143" s="509">
        <f t="shared" si="13"/>
        <v>0</v>
      </c>
      <c r="Q143" s="471"/>
    </row>
    <row r="144" spans="3:17">
      <c r="C144" s="505">
        <f>IF(D96="","-",+C143+1)</f>
        <v>2051</v>
      </c>
      <c r="D144" s="469">
        <f t="shared" si="14"/>
        <v>33089.506369053386</v>
      </c>
      <c r="E144" s="511">
        <f t="shared" si="15"/>
        <v>33089.506369053386</v>
      </c>
      <c r="F144" s="511">
        <f t="shared" si="8"/>
        <v>0</v>
      </c>
      <c r="G144" s="469">
        <f t="shared" si="9"/>
        <v>16544.753184526693</v>
      </c>
      <c r="H144" s="506">
        <f>+J97*G144+E144</f>
        <v>35570.661245011433</v>
      </c>
      <c r="I144" s="512">
        <f>+J98*G144+E144</f>
        <v>35570.661245011433</v>
      </c>
      <c r="J144" s="509">
        <f t="shared" si="10"/>
        <v>0</v>
      </c>
      <c r="K144" s="509"/>
      <c r="L144" s="513"/>
      <c r="M144" s="509">
        <f t="shared" si="11"/>
        <v>0</v>
      </c>
      <c r="N144" s="513"/>
      <c r="O144" s="509">
        <f t="shared" si="12"/>
        <v>0</v>
      </c>
      <c r="P144" s="509">
        <f t="shared" si="13"/>
        <v>0</v>
      </c>
      <c r="Q144" s="471"/>
    </row>
    <row r="145" spans="3:17">
      <c r="C145" s="505">
        <f>IF(D96="","-",+C144+1)</f>
        <v>2052</v>
      </c>
      <c r="D145" s="469">
        <f t="shared" si="14"/>
        <v>0</v>
      </c>
      <c r="E145" s="511">
        <f t="shared" si="15"/>
        <v>0</v>
      </c>
      <c r="F145" s="511">
        <f t="shared" si="8"/>
        <v>0</v>
      </c>
      <c r="G145" s="469">
        <f t="shared" si="9"/>
        <v>0</v>
      </c>
      <c r="H145" s="506">
        <f>+J97*G145+E145</f>
        <v>0</v>
      </c>
      <c r="I145" s="512">
        <f>+J98*G145+E145</f>
        <v>0</v>
      </c>
      <c r="J145" s="509">
        <f t="shared" si="10"/>
        <v>0</v>
      </c>
      <c r="K145" s="509"/>
      <c r="L145" s="513"/>
      <c r="M145" s="509">
        <f t="shared" si="11"/>
        <v>0</v>
      </c>
      <c r="N145" s="513"/>
      <c r="O145" s="509">
        <f t="shared" si="12"/>
        <v>0</v>
      </c>
      <c r="P145" s="509">
        <f t="shared" si="13"/>
        <v>0</v>
      </c>
      <c r="Q145" s="471"/>
    </row>
    <row r="146" spans="3:17">
      <c r="C146" s="505">
        <f>IF(D96="","-",+C145+1)</f>
        <v>2053</v>
      </c>
      <c r="D146" s="469">
        <f t="shared" si="14"/>
        <v>0</v>
      </c>
      <c r="E146" s="511">
        <f t="shared" si="15"/>
        <v>0</v>
      </c>
      <c r="F146" s="511">
        <f t="shared" si="8"/>
        <v>0</v>
      </c>
      <c r="G146" s="469">
        <f t="shared" si="9"/>
        <v>0</v>
      </c>
      <c r="H146" s="506">
        <f>+J97*G146+E146</f>
        <v>0</v>
      </c>
      <c r="I146" s="512">
        <f>+J98*G146+E146</f>
        <v>0</v>
      </c>
      <c r="J146" s="509">
        <f t="shared" si="10"/>
        <v>0</v>
      </c>
      <c r="K146" s="509"/>
      <c r="L146" s="513"/>
      <c r="M146" s="509">
        <f t="shared" si="11"/>
        <v>0</v>
      </c>
      <c r="N146" s="513"/>
      <c r="O146" s="509">
        <f t="shared" si="12"/>
        <v>0</v>
      </c>
      <c r="P146" s="509">
        <f t="shared" si="13"/>
        <v>0</v>
      </c>
      <c r="Q146" s="471"/>
    </row>
    <row r="147" spans="3:17">
      <c r="C147" s="505">
        <f>IF(D96="","-",+C146+1)</f>
        <v>2054</v>
      </c>
      <c r="D147" s="469">
        <f t="shared" si="14"/>
        <v>0</v>
      </c>
      <c r="E147" s="511">
        <f t="shared" si="15"/>
        <v>0</v>
      </c>
      <c r="F147" s="511">
        <f t="shared" si="8"/>
        <v>0</v>
      </c>
      <c r="G147" s="469">
        <f t="shared" si="9"/>
        <v>0</v>
      </c>
      <c r="H147" s="506">
        <f>+J97*G147+E147</f>
        <v>0</v>
      </c>
      <c r="I147" s="512">
        <f>+J98*G147+E147</f>
        <v>0</v>
      </c>
      <c r="J147" s="509">
        <f t="shared" si="10"/>
        <v>0</v>
      </c>
      <c r="K147" s="509"/>
      <c r="L147" s="513"/>
      <c r="M147" s="509">
        <f t="shared" si="11"/>
        <v>0</v>
      </c>
      <c r="N147" s="513"/>
      <c r="O147" s="509">
        <f t="shared" si="12"/>
        <v>0</v>
      </c>
      <c r="P147" s="509">
        <f t="shared" si="13"/>
        <v>0</v>
      </c>
      <c r="Q147" s="471"/>
    </row>
    <row r="148" spans="3:17">
      <c r="C148" s="505">
        <f>IF(D96="","-",+C147+1)</f>
        <v>2055</v>
      </c>
      <c r="D148" s="469">
        <f t="shared" si="14"/>
        <v>0</v>
      </c>
      <c r="E148" s="511">
        <f t="shared" si="15"/>
        <v>0</v>
      </c>
      <c r="F148" s="511">
        <f t="shared" si="8"/>
        <v>0</v>
      </c>
      <c r="G148" s="469">
        <f t="shared" si="9"/>
        <v>0</v>
      </c>
      <c r="H148" s="506">
        <f>+J97*G148+E148</f>
        <v>0</v>
      </c>
      <c r="I148" s="512">
        <f>+J98*G148+E148</f>
        <v>0</v>
      </c>
      <c r="J148" s="509">
        <f t="shared" si="10"/>
        <v>0</v>
      </c>
      <c r="K148" s="509"/>
      <c r="L148" s="513"/>
      <c r="M148" s="509">
        <f t="shared" si="11"/>
        <v>0</v>
      </c>
      <c r="N148" s="513"/>
      <c r="O148" s="509">
        <f t="shared" si="12"/>
        <v>0</v>
      </c>
      <c r="P148" s="509">
        <f t="shared" si="13"/>
        <v>0</v>
      </c>
      <c r="Q148" s="471"/>
    </row>
    <row r="149" spans="3:17">
      <c r="C149" s="505">
        <f>IF(D96="","-",+C148+1)</f>
        <v>2056</v>
      </c>
      <c r="D149" s="469">
        <f t="shared" si="14"/>
        <v>0</v>
      </c>
      <c r="E149" s="511">
        <f t="shared" si="15"/>
        <v>0</v>
      </c>
      <c r="F149" s="511">
        <f t="shared" si="8"/>
        <v>0</v>
      </c>
      <c r="G149" s="469">
        <f t="shared" si="9"/>
        <v>0</v>
      </c>
      <c r="H149" s="506">
        <f>+J97*G149+E149</f>
        <v>0</v>
      </c>
      <c r="I149" s="512">
        <f>+J98*G149+E149</f>
        <v>0</v>
      </c>
      <c r="J149" s="509">
        <f t="shared" si="10"/>
        <v>0</v>
      </c>
      <c r="K149" s="509"/>
      <c r="L149" s="513"/>
      <c r="M149" s="509">
        <f t="shared" si="11"/>
        <v>0</v>
      </c>
      <c r="N149" s="513"/>
      <c r="O149" s="509">
        <f t="shared" si="12"/>
        <v>0</v>
      </c>
      <c r="P149" s="509">
        <f t="shared" si="13"/>
        <v>0</v>
      </c>
      <c r="Q149" s="471"/>
    </row>
    <row r="150" spans="3:17">
      <c r="C150" s="505">
        <f>IF(D96="","-",+C149+1)</f>
        <v>2057</v>
      </c>
      <c r="D150" s="469">
        <f t="shared" si="14"/>
        <v>0</v>
      </c>
      <c r="E150" s="511">
        <f t="shared" si="15"/>
        <v>0</v>
      </c>
      <c r="F150" s="511">
        <f t="shared" si="8"/>
        <v>0</v>
      </c>
      <c r="G150" s="469">
        <f t="shared" si="9"/>
        <v>0</v>
      </c>
      <c r="H150" s="506">
        <f>+J97*G150+E150</f>
        <v>0</v>
      </c>
      <c r="I150" s="512">
        <f>+J98*G150+E150</f>
        <v>0</v>
      </c>
      <c r="J150" s="509">
        <f t="shared" si="10"/>
        <v>0</v>
      </c>
      <c r="K150" s="509"/>
      <c r="L150" s="513"/>
      <c r="M150" s="509">
        <f t="shared" si="11"/>
        <v>0</v>
      </c>
      <c r="N150" s="513"/>
      <c r="O150" s="509">
        <f t="shared" si="12"/>
        <v>0</v>
      </c>
      <c r="P150" s="509">
        <f t="shared" si="13"/>
        <v>0</v>
      </c>
      <c r="Q150" s="471"/>
    </row>
    <row r="151" spans="3:17">
      <c r="C151" s="505">
        <f>IF(D96="","-",+C150+1)</f>
        <v>2058</v>
      </c>
      <c r="D151" s="469">
        <f t="shared" si="14"/>
        <v>0</v>
      </c>
      <c r="E151" s="511">
        <f t="shared" si="15"/>
        <v>0</v>
      </c>
      <c r="F151" s="511">
        <f t="shared" si="8"/>
        <v>0</v>
      </c>
      <c r="G151" s="469">
        <f t="shared" si="9"/>
        <v>0</v>
      </c>
      <c r="H151" s="506">
        <f>+J97*G151+E151</f>
        <v>0</v>
      </c>
      <c r="I151" s="512">
        <f>+J98*G151+E151</f>
        <v>0</v>
      </c>
      <c r="J151" s="509">
        <f t="shared" si="10"/>
        <v>0</v>
      </c>
      <c r="K151" s="509"/>
      <c r="L151" s="513"/>
      <c r="M151" s="509">
        <f t="shared" si="11"/>
        <v>0</v>
      </c>
      <c r="N151" s="513"/>
      <c r="O151" s="509">
        <f t="shared" si="12"/>
        <v>0</v>
      </c>
      <c r="P151" s="509">
        <f t="shared" si="13"/>
        <v>0</v>
      </c>
      <c r="Q151" s="471"/>
    </row>
    <row r="152" spans="3:17">
      <c r="C152" s="505">
        <f>IF(D96="","-",+C151+1)</f>
        <v>2059</v>
      </c>
      <c r="D152" s="469">
        <f t="shared" si="14"/>
        <v>0</v>
      </c>
      <c r="E152" s="511">
        <f t="shared" si="15"/>
        <v>0</v>
      </c>
      <c r="F152" s="511">
        <f t="shared" si="8"/>
        <v>0</v>
      </c>
      <c r="G152" s="469">
        <f t="shared" si="9"/>
        <v>0</v>
      </c>
      <c r="H152" s="506">
        <f>+J97*G152+E152</f>
        <v>0</v>
      </c>
      <c r="I152" s="512">
        <f>+J98*G152+E152</f>
        <v>0</v>
      </c>
      <c r="J152" s="509">
        <f t="shared" si="10"/>
        <v>0</v>
      </c>
      <c r="K152" s="509"/>
      <c r="L152" s="513"/>
      <c r="M152" s="509">
        <f t="shared" si="11"/>
        <v>0</v>
      </c>
      <c r="N152" s="513"/>
      <c r="O152" s="509">
        <f t="shared" si="12"/>
        <v>0</v>
      </c>
      <c r="P152" s="509">
        <f t="shared" si="13"/>
        <v>0</v>
      </c>
      <c r="Q152" s="471"/>
    </row>
    <row r="153" spans="3:17">
      <c r="C153" s="505">
        <f>IF(D96="","-",+C152+1)</f>
        <v>2060</v>
      </c>
      <c r="D153" s="469">
        <f t="shared" si="14"/>
        <v>0</v>
      </c>
      <c r="E153" s="511">
        <f t="shared" si="15"/>
        <v>0</v>
      </c>
      <c r="F153" s="511">
        <f t="shared" si="8"/>
        <v>0</v>
      </c>
      <c r="G153" s="469">
        <f t="shared" si="9"/>
        <v>0</v>
      </c>
      <c r="H153" s="506">
        <f>+J97*G153+E153</f>
        <v>0</v>
      </c>
      <c r="I153" s="512">
        <f>+J98*G153+E153</f>
        <v>0</v>
      </c>
      <c r="J153" s="509">
        <f t="shared" si="10"/>
        <v>0</v>
      </c>
      <c r="K153" s="509"/>
      <c r="L153" s="513"/>
      <c r="M153" s="509">
        <f t="shared" si="11"/>
        <v>0</v>
      </c>
      <c r="N153" s="513"/>
      <c r="O153" s="509">
        <f t="shared" si="12"/>
        <v>0</v>
      </c>
      <c r="P153" s="509">
        <f t="shared" si="13"/>
        <v>0</v>
      </c>
      <c r="Q153" s="471"/>
    </row>
    <row r="154" spans="3:17">
      <c r="C154" s="505">
        <f>IF(D96="","-",+C153+1)</f>
        <v>2061</v>
      </c>
      <c r="D154" s="469">
        <f t="shared" si="14"/>
        <v>0</v>
      </c>
      <c r="E154" s="511">
        <f t="shared" si="15"/>
        <v>0</v>
      </c>
      <c r="F154" s="511">
        <f t="shared" si="8"/>
        <v>0</v>
      </c>
      <c r="G154" s="469">
        <f t="shared" si="9"/>
        <v>0</v>
      </c>
      <c r="H154" s="506">
        <f>+J97*G154+E154</f>
        <v>0</v>
      </c>
      <c r="I154" s="512">
        <f>+J98*G154+E154</f>
        <v>0</v>
      </c>
      <c r="J154" s="509">
        <f t="shared" si="10"/>
        <v>0</v>
      </c>
      <c r="K154" s="509"/>
      <c r="L154" s="513"/>
      <c r="M154" s="509">
        <f t="shared" si="11"/>
        <v>0</v>
      </c>
      <c r="N154" s="513"/>
      <c r="O154" s="509">
        <f t="shared" si="12"/>
        <v>0</v>
      </c>
      <c r="P154" s="509">
        <f t="shared" si="13"/>
        <v>0</v>
      </c>
      <c r="Q154" s="471"/>
    </row>
    <row r="155" spans="3:17">
      <c r="C155" s="505">
        <f>IF(D96="","-",+C154+1)</f>
        <v>2062</v>
      </c>
      <c r="D155" s="469">
        <f t="shared" si="14"/>
        <v>0</v>
      </c>
      <c r="E155" s="511">
        <f t="shared" si="15"/>
        <v>0</v>
      </c>
      <c r="F155" s="511">
        <f t="shared" si="8"/>
        <v>0</v>
      </c>
      <c r="G155" s="469">
        <f t="shared" si="9"/>
        <v>0</v>
      </c>
      <c r="H155" s="506">
        <f>+J97*G155+E155</f>
        <v>0</v>
      </c>
      <c r="I155" s="512">
        <f>+J98*G155+E155</f>
        <v>0</v>
      </c>
      <c r="J155" s="509">
        <f t="shared" si="10"/>
        <v>0</v>
      </c>
      <c r="K155" s="509"/>
      <c r="L155" s="513"/>
      <c r="M155" s="509">
        <f t="shared" si="11"/>
        <v>0</v>
      </c>
      <c r="N155" s="513"/>
      <c r="O155" s="509">
        <f t="shared" si="12"/>
        <v>0</v>
      </c>
      <c r="P155" s="509">
        <f t="shared" si="13"/>
        <v>0</v>
      </c>
      <c r="Q155" s="471"/>
    </row>
    <row r="156" spans="3:17">
      <c r="C156" s="505">
        <f>IF(D96="","-",+C155+1)</f>
        <v>2063</v>
      </c>
      <c r="D156" s="469">
        <f t="shared" si="14"/>
        <v>0</v>
      </c>
      <c r="E156" s="511">
        <f t="shared" si="15"/>
        <v>0</v>
      </c>
      <c r="F156" s="511">
        <f t="shared" si="8"/>
        <v>0</v>
      </c>
      <c r="G156" s="469">
        <f t="shared" si="9"/>
        <v>0</v>
      </c>
      <c r="H156" s="506">
        <f>+J97*G156+E156</f>
        <v>0</v>
      </c>
      <c r="I156" s="512">
        <f>+J98*G156+E156</f>
        <v>0</v>
      </c>
      <c r="J156" s="509">
        <f t="shared" si="10"/>
        <v>0</v>
      </c>
      <c r="K156" s="509"/>
      <c r="L156" s="513"/>
      <c r="M156" s="509">
        <f t="shared" si="11"/>
        <v>0</v>
      </c>
      <c r="N156" s="513"/>
      <c r="O156" s="509">
        <f t="shared" si="12"/>
        <v>0</v>
      </c>
      <c r="P156" s="509">
        <f t="shared" si="13"/>
        <v>0</v>
      </c>
      <c r="Q156" s="471"/>
    </row>
    <row r="157" spans="3:17">
      <c r="C157" s="505">
        <f>IF(D96="","-",+C156+1)</f>
        <v>2064</v>
      </c>
      <c r="D157" s="469">
        <f t="shared" si="14"/>
        <v>0</v>
      </c>
      <c r="E157" s="511">
        <f t="shared" si="15"/>
        <v>0</v>
      </c>
      <c r="F157" s="511">
        <f t="shared" si="8"/>
        <v>0</v>
      </c>
      <c r="G157" s="469">
        <f t="shared" si="9"/>
        <v>0</v>
      </c>
      <c r="H157" s="506">
        <f>+J97*G157+E157</f>
        <v>0</v>
      </c>
      <c r="I157" s="512">
        <f>+J98*G157+E157</f>
        <v>0</v>
      </c>
      <c r="J157" s="509">
        <f t="shared" si="10"/>
        <v>0</v>
      </c>
      <c r="K157" s="509"/>
      <c r="L157" s="513"/>
      <c r="M157" s="509">
        <f t="shared" si="11"/>
        <v>0</v>
      </c>
      <c r="N157" s="513"/>
      <c r="O157" s="509">
        <f t="shared" si="12"/>
        <v>0</v>
      </c>
      <c r="P157" s="509">
        <f t="shared" si="13"/>
        <v>0</v>
      </c>
      <c r="Q157" s="471"/>
    </row>
    <row r="158" spans="3:17">
      <c r="C158" s="505">
        <f>IF(D96="","-",+C157+1)</f>
        <v>2065</v>
      </c>
      <c r="D158" s="469">
        <f t="shared" si="14"/>
        <v>0</v>
      </c>
      <c r="E158" s="511">
        <f t="shared" si="15"/>
        <v>0</v>
      </c>
      <c r="F158" s="511">
        <f t="shared" si="8"/>
        <v>0</v>
      </c>
      <c r="G158" s="469">
        <f t="shared" si="9"/>
        <v>0</v>
      </c>
      <c r="H158" s="506">
        <f>+J97*G158+E158</f>
        <v>0</v>
      </c>
      <c r="I158" s="512">
        <f>+J98*G158+E158</f>
        <v>0</v>
      </c>
      <c r="J158" s="509">
        <f t="shared" si="10"/>
        <v>0</v>
      </c>
      <c r="K158" s="509"/>
      <c r="L158" s="513"/>
      <c r="M158" s="509">
        <f t="shared" si="11"/>
        <v>0</v>
      </c>
      <c r="N158" s="513"/>
      <c r="O158" s="509">
        <f t="shared" si="12"/>
        <v>0</v>
      </c>
      <c r="P158" s="509">
        <f t="shared" si="13"/>
        <v>0</v>
      </c>
      <c r="Q158" s="471"/>
    </row>
    <row r="159" spans="3:17">
      <c r="C159" s="505">
        <f>IF(D96="","-",+C158+1)</f>
        <v>2066</v>
      </c>
      <c r="D159" s="469">
        <f t="shared" si="14"/>
        <v>0</v>
      </c>
      <c r="E159" s="511">
        <f t="shared" si="15"/>
        <v>0</v>
      </c>
      <c r="F159" s="511">
        <f t="shared" si="8"/>
        <v>0</v>
      </c>
      <c r="G159" s="469">
        <f t="shared" si="9"/>
        <v>0</v>
      </c>
      <c r="H159" s="506">
        <f>+J97*G159+E159</f>
        <v>0</v>
      </c>
      <c r="I159" s="512">
        <f>+J98*G159+E159</f>
        <v>0</v>
      </c>
      <c r="J159" s="509">
        <f t="shared" si="10"/>
        <v>0</v>
      </c>
      <c r="K159" s="509"/>
      <c r="L159" s="513"/>
      <c r="M159" s="509">
        <f t="shared" si="11"/>
        <v>0</v>
      </c>
      <c r="N159" s="513"/>
      <c r="O159" s="509">
        <f t="shared" si="12"/>
        <v>0</v>
      </c>
      <c r="P159" s="509">
        <f t="shared" si="13"/>
        <v>0</v>
      </c>
      <c r="Q159" s="471"/>
    </row>
    <row r="160" spans="3:17">
      <c r="C160" s="505">
        <f>IF(D96="","-",+C159+1)</f>
        <v>2067</v>
      </c>
      <c r="D160" s="469">
        <f t="shared" si="14"/>
        <v>0</v>
      </c>
      <c r="E160" s="511">
        <f t="shared" si="15"/>
        <v>0</v>
      </c>
      <c r="F160" s="511">
        <f t="shared" si="8"/>
        <v>0</v>
      </c>
      <c r="G160" s="469">
        <f t="shared" si="9"/>
        <v>0</v>
      </c>
      <c r="H160" s="506">
        <f>+J97*G160+E160</f>
        <v>0</v>
      </c>
      <c r="I160" s="512">
        <f>+J98*G160+E160</f>
        <v>0</v>
      </c>
      <c r="J160" s="509">
        <f t="shared" si="10"/>
        <v>0</v>
      </c>
      <c r="K160" s="509"/>
      <c r="L160" s="513"/>
      <c r="M160" s="509">
        <f t="shared" si="11"/>
        <v>0</v>
      </c>
      <c r="N160" s="513"/>
      <c r="O160" s="509">
        <f t="shared" si="12"/>
        <v>0</v>
      </c>
      <c r="P160" s="509">
        <f t="shared" si="13"/>
        <v>0</v>
      </c>
      <c r="Q160" s="471"/>
    </row>
    <row r="161" spans="1:17" ht="13.5" thickBot="1">
      <c r="C161" s="515">
        <f>IF(D96="","-",+C160+1)</f>
        <v>2068</v>
      </c>
      <c r="D161" s="516">
        <f t="shared" si="14"/>
        <v>0</v>
      </c>
      <c r="E161" s="517">
        <f t="shared" si="15"/>
        <v>0</v>
      </c>
      <c r="F161" s="517">
        <f t="shared" si="8"/>
        <v>0</v>
      </c>
      <c r="G161" s="516">
        <f t="shared" si="9"/>
        <v>0</v>
      </c>
      <c r="H161" s="518">
        <f>+J97*G161+E161</f>
        <v>0</v>
      </c>
      <c r="I161" s="518">
        <f>+J98*G161+E161</f>
        <v>0</v>
      </c>
      <c r="J161" s="519">
        <f t="shared" si="10"/>
        <v>0</v>
      </c>
      <c r="K161" s="509"/>
      <c r="L161" s="520"/>
      <c r="M161" s="519">
        <f t="shared" si="11"/>
        <v>0</v>
      </c>
      <c r="N161" s="520"/>
      <c r="O161" s="519">
        <f t="shared" si="12"/>
        <v>0</v>
      </c>
      <c r="P161" s="519">
        <f t="shared" si="13"/>
        <v>0</v>
      </c>
      <c r="Q161" s="471"/>
    </row>
    <row r="162" spans="1:17">
      <c r="C162" s="469" t="s">
        <v>288</v>
      </c>
      <c r="D162" s="467"/>
      <c r="E162" s="467">
        <f>SUM(E102:E161)</f>
        <v>5559037.0700000012</v>
      </c>
      <c r="F162" s="467"/>
      <c r="G162" s="467"/>
      <c r="H162" s="467">
        <f>SUM(H102:H161)</f>
        <v>23274482.884337403</v>
      </c>
      <c r="I162" s="467">
        <f>SUM(I102:I161)</f>
        <v>23274482.884337403</v>
      </c>
      <c r="J162" s="467">
        <f>SUM(J102:J161)</f>
        <v>0</v>
      </c>
      <c r="K162" s="467"/>
      <c r="L162" s="467"/>
      <c r="M162" s="467"/>
      <c r="N162" s="467"/>
      <c r="O162" s="467"/>
      <c r="Q162" s="467"/>
    </row>
    <row r="163" spans="1:17">
      <c r="D163" s="79"/>
      <c r="E163" s="4"/>
      <c r="F163" s="4"/>
      <c r="G163" s="4"/>
      <c r="H163" s="4"/>
      <c r="I163" s="452"/>
      <c r="J163" s="452"/>
      <c r="K163" s="467"/>
      <c r="L163" s="452"/>
      <c r="M163" s="452"/>
      <c r="N163" s="452"/>
      <c r="O163" s="452"/>
      <c r="Q163" s="467"/>
    </row>
    <row r="164" spans="1:17">
      <c r="C164" s="4" t="s">
        <v>595</v>
      </c>
      <c r="D164" s="79"/>
      <c r="E164" s="4"/>
      <c r="F164" s="4"/>
      <c r="G164" s="4"/>
      <c r="H164" s="4"/>
      <c r="I164" s="452"/>
      <c r="J164" s="452"/>
      <c r="K164" s="467"/>
      <c r="L164" s="452"/>
      <c r="M164" s="452"/>
      <c r="N164" s="452"/>
      <c r="O164" s="452"/>
      <c r="Q164" s="467"/>
    </row>
    <row r="165" spans="1:17">
      <c r="D165" s="79"/>
      <c r="E165" s="4"/>
      <c r="F165" s="4"/>
      <c r="G165" s="4"/>
      <c r="H165" s="4"/>
      <c r="I165" s="452"/>
      <c r="J165" s="452"/>
      <c r="K165" s="467"/>
      <c r="L165" s="452"/>
      <c r="M165" s="452"/>
      <c r="N165" s="452"/>
      <c r="O165" s="452"/>
      <c r="Q165" s="467"/>
    </row>
    <row r="166" spans="1:17">
      <c r="C166" s="4" t="s">
        <v>596</v>
      </c>
      <c r="D166" s="469"/>
      <c r="E166" s="469"/>
      <c r="F166" s="469"/>
      <c r="G166" s="469"/>
      <c r="H166" s="467"/>
      <c r="I166" s="467"/>
      <c r="J166" s="471"/>
      <c r="K166" s="471"/>
      <c r="L166" s="471"/>
      <c r="M166" s="471"/>
      <c r="N166" s="471"/>
      <c r="O166" s="471"/>
      <c r="Q166" s="471"/>
    </row>
    <row r="167" spans="1:17">
      <c r="C167" s="4" t="s">
        <v>476</v>
      </c>
      <c r="D167" s="469"/>
      <c r="E167" s="469"/>
      <c r="F167" s="469"/>
      <c r="G167" s="469"/>
      <c r="H167" s="467"/>
      <c r="I167" s="467"/>
      <c r="J167" s="471"/>
      <c r="K167" s="471"/>
      <c r="L167" s="471"/>
      <c r="M167" s="471"/>
      <c r="N167" s="471"/>
      <c r="O167" s="471"/>
      <c r="Q167" s="471"/>
    </row>
    <row r="168" spans="1:17">
      <c r="C168" s="4" t="s">
        <v>289</v>
      </c>
      <c r="D168" s="469"/>
      <c r="E168" s="469"/>
      <c r="F168" s="469"/>
      <c r="G168" s="469"/>
      <c r="H168" s="467"/>
      <c r="I168" s="467"/>
      <c r="J168" s="471"/>
      <c r="K168" s="471"/>
      <c r="L168" s="471"/>
      <c r="M168" s="471"/>
      <c r="N168" s="471"/>
      <c r="O168" s="471"/>
      <c r="Q168" s="471"/>
    </row>
    <row r="169" spans="1:17">
      <c r="C169" s="470"/>
      <c r="D169" s="469"/>
      <c r="E169" s="469"/>
      <c r="F169" s="469"/>
      <c r="G169" s="469"/>
      <c r="H169" s="467"/>
      <c r="I169" s="467"/>
      <c r="J169" s="471"/>
      <c r="K169" s="471"/>
      <c r="L169" s="471"/>
      <c r="M169" s="471"/>
      <c r="N169" s="471"/>
      <c r="O169" s="471"/>
      <c r="Q169" s="471"/>
    </row>
    <row r="170" spans="1:17" ht="20.25">
      <c r="A170" s="411" t="s">
        <v>762</v>
      </c>
      <c r="B170" s="4"/>
      <c r="C170" s="4"/>
      <c r="D170" s="79"/>
      <c r="E170" s="4"/>
      <c r="F170" s="81"/>
      <c r="G170" s="81"/>
      <c r="H170" s="4"/>
      <c r="I170" s="452"/>
      <c r="L170" s="11"/>
      <c r="M170" s="11"/>
      <c r="N170" s="11"/>
      <c r="O170" s="11" t="str">
        <f>"Page "&amp;SUM(Q$3:Q170)&amp;" of "</f>
        <v xml:space="preserve">Page 3 of </v>
      </c>
      <c r="P170" s="412">
        <f>COUNT(Q$8:Q$58212)</f>
        <v>23</v>
      </c>
      <c r="Q170" s="539">
        <v>1</v>
      </c>
    </row>
    <row r="171" spans="1:17">
      <c r="B171" s="4"/>
      <c r="C171" s="4"/>
      <c r="D171" s="79"/>
      <c r="E171" s="4"/>
      <c r="F171" s="4"/>
      <c r="G171" s="4"/>
      <c r="H171" s="4"/>
      <c r="I171" s="452"/>
      <c r="J171" s="4"/>
      <c r="K171" s="4"/>
    </row>
    <row r="172" spans="1:17" ht="18">
      <c r="B172" s="413" t="s">
        <v>174</v>
      </c>
      <c r="C172" s="472" t="s">
        <v>290</v>
      </c>
      <c r="D172" s="79"/>
      <c r="E172" s="4"/>
      <c r="F172" s="4"/>
      <c r="G172" s="4"/>
      <c r="H172" s="4"/>
      <c r="I172" s="452"/>
      <c r="J172" s="452"/>
      <c r="K172" s="467"/>
      <c r="L172" s="452"/>
      <c r="M172" s="452"/>
      <c r="N172" s="452"/>
      <c r="O172" s="452"/>
      <c r="Q172" s="467"/>
    </row>
    <row r="173" spans="1:17" ht="18.75">
      <c r="B173" s="413"/>
      <c r="C173" s="13"/>
      <c r="D173" s="79"/>
      <c r="E173" s="4"/>
      <c r="F173" s="4"/>
      <c r="G173" s="4"/>
      <c r="H173" s="4"/>
      <c r="I173" s="452"/>
      <c r="J173" s="452"/>
      <c r="K173" s="467"/>
      <c r="L173" s="452"/>
      <c r="M173" s="452"/>
      <c r="N173" s="452"/>
      <c r="O173" s="452"/>
      <c r="Q173" s="467"/>
    </row>
    <row r="174" spans="1:17" ht="18.75">
      <c r="B174" s="413"/>
      <c r="C174" s="13" t="s">
        <v>291</v>
      </c>
      <c r="D174" s="79"/>
      <c r="E174" s="4"/>
      <c r="F174" s="4"/>
      <c r="G174" s="4"/>
      <c r="H174" s="4"/>
      <c r="I174" s="452"/>
      <c r="J174" s="452"/>
      <c r="K174" s="467"/>
      <c r="L174" s="452"/>
      <c r="M174" s="452"/>
      <c r="N174" s="452"/>
      <c r="O174" s="452"/>
      <c r="Q174" s="467"/>
    </row>
    <row r="175" spans="1:17" ht="15.75" thickBot="1">
      <c r="C175" s="247"/>
      <c r="D175" s="79"/>
      <c r="E175" s="4"/>
      <c r="F175" s="4"/>
      <c r="G175" s="4"/>
      <c r="H175" s="4"/>
      <c r="I175" s="452"/>
      <c r="J175" s="452"/>
      <c r="K175" s="467"/>
      <c r="L175" s="452"/>
      <c r="M175" s="452"/>
      <c r="N175" s="452"/>
      <c r="O175" s="452"/>
      <c r="Q175" s="467"/>
    </row>
    <row r="176" spans="1:17" ht="15.75">
      <c r="C176" s="414" t="s">
        <v>292</v>
      </c>
      <c r="D176" s="79"/>
      <c r="E176" s="4"/>
      <c r="F176" s="4"/>
      <c r="G176" s="4"/>
      <c r="H176" s="635"/>
      <c r="I176" s="4" t="s">
        <v>271</v>
      </c>
      <c r="J176" s="4"/>
      <c r="K176" s="4"/>
      <c r="L176" s="540">
        <f>+J182</f>
        <v>2025</v>
      </c>
      <c r="M176" s="524" t="s">
        <v>254</v>
      </c>
      <c r="N176" s="524" t="s">
        <v>255</v>
      </c>
      <c r="O176" s="525" t="s">
        <v>256</v>
      </c>
    </row>
    <row r="177" spans="1:17" ht="15.75">
      <c r="C177" s="414"/>
      <c r="D177" s="79"/>
      <c r="E177" s="4"/>
      <c r="F177" s="4"/>
      <c r="H177" s="4"/>
      <c r="I177" s="476"/>
      <c r="J177" s="476"/>
      <c r="K177" s="477"/>
      <c r="L177" s="541" t="s">
        <v>455</v>
      </c>
      <c r="M177" s="542">
        <f>VLOOKUP(J182,C189:P248,10)</f>
        <v>820217.30347019713</v>
      </c>
      <c r="N177" s="542">
        <f>VLOOKUP(J182,C189:P248,12)</f>
        <v>820217.30347019713</v>
      </c>
      <c r="O177" s="543">
        <f>+N177-M177</f>
        <v>0</v>
      </c>
      <c r="Q177" s="477"/>
    </row>
    <row r="178" spans="1:17">
      <c r="C178" s="479" t="s">
        <v>293</v>
      </c>
      <c r="D178" s="1278" t="s">
        <v>925</v>
      </c>
      <c r="E178" s="1279"/>
      <c r="F178" s="1279"/>
      <c r="G178" s="1279"/>
      <c r="H178" s="1279"/>
      <c r="I178" s="1279"/>
      <c r="J178" s="452"/>
      <c r="K178" s="467"/>
      <c r="L178" s="541" t="s">
        <v>456</v>
      </c>
      <c r="M178" s="544">
        <f>VLOOKUP(J182,C189:P248,6)</f>
        <v>841265.0978689621</v>
      </c>
      <c r="N178" s="544">
        <f>VLOOKUP(J182,C189:P248,7)</f>
        <v>841265.0978689621</v>
      </c>
      <c r="O178" s="545">
        <f>+N178-M178</f>
        <v>0</v>
      </c>
      <c r="Q178" s="467"/>
    </row>
    <row r="179" spans="1:17" ht="13.5" thickBot="1">
      <c r="C179" s="481"/>
      <c r="D179" s="1279"/>
      <c r="E179" s="1279"/>
      <c r="F179" s="1279"/>
      <c r="G179" s="1279"/>
      <c r="H179" s="1279"/>
      <c r="I179" s="1279"/>
      <c r="J179" s="452"/>
      <c r="K179" s="467"/>
      <c r="L179" s="492" t="s">
        <v>457</v>
      </c>
      <c r="M179" s="546">
        <f>+M178-M177</f>
        <v>21047.794398764963</v>
      </c>
      <c r="N179" s="546">
        <f>+N178-N177</f>
        <v>21047.794398764963</v>
      </c>
      <c r="O179" s="547">
        <f>+O178-O177</f>
        <v>0</v>
      </c>
      <c r="Q179" s="467"/>
    </row>
    <row r="180" spans="1:17" ht="13.5" thickBot="1">
      <c r="C180" s="481"/>
      <c r="D180" s="4"/>
      <c r="E180" s="483"/>
      <c r="F180" s="483"/>
      <c r="G180" s="483"/>
      <c r="H180" s="483"/>
      <c r="I180" s="483"/>
      <c r="J180" s="483"/>
      <c r="K180" s="483"/>
      <c r="L180" s="483"/>
      <c r="M180" s="483"/>
      <c r="N180" s="483"/>
      <c r="O180" s="483"/>
      <c r="Q180" s="483"/>
    </row>
    <row r="181" spans="1:17" ht="13.5" thickBot="1">
      <c r="C181" s="484" t="s">
        <v>294</v>
      </c>
      <c r="D181" s="485"/>
      <c r="E181" s="485"/>
      <c r="F181" s="485"/>
      <c r="G181" s="485"/>
      <c r="H181" s="485"/>
      <c r="I181" s="485"/>
      <c r="J181" s="485"/>
      <c r="Q181"/>
    </row>
    <row r="182" spans="1:17" ht="15">
      <c r="A182" s="977"/>
      <c r="C182" s="487" t="s">
        <v>272</v>
      </c>
      <c r="D182" s="926">
        <v>6529258.7800000003</v>
      </c>
      <c r="E182" s="4" t="s">
        <v>273</v>
      </c>
      <c r="H182" s="79"/>
      <c r="I182" s="79"/>
      <c r="J182" s="488">
        <f>$J$95</f>
        <v>2025</v>
      </c>
      <c r="K182" s="135"/>
      <c r="L182" s="1287" t="s">
        <v>274</v>
      </c>
      <c r="M182" s="1287"/>
      <c r="N182" s="1287"/>
      <c r="O182" s="1287"/>
      <c r="Q182" s="135"/>
    </row>
    <row r="183" spans="1:17">
      <c r="A183" s="977"/>
      <c r="C183" s="487" t="s">
        <v>275</v>
      </c>
      <c r="D183" s="644">
        <v>2012</v>
      </c>
      <c r="E183" s="487" t="s">
        <v>276</v>
      </c>
      <c r="F183" s="79"/>
      <c r="G183" s="79"/>
      <c r="I183"/>
      <c r="J183" s="638">
        <v>0</v>
      </c>
      <c r="K183" s="489"/>
      <c r="L183" s="467" t="s">
        <v>475</v>
      </c>
      <c r="Q183" s="489"/>
    </row>
    <row r="184" spans="1:17">
      <c r="A184" s="977"/>
      <c r="C184" s="487" t="s">
        <v>277</v>
      </c>
      <c r="D184" s="926">
        <v>11</v>
      </c>
      <c r="E184" s="487" t="s">
        <v>278</v>
      </c>
      <c r="F184" s="79"/>
      <c r="G184" s="79"/>
      <c r="I184"/>
      <c r="J184" s="490">
        <f>$F$70</f>
        <v>0.14996626714737105</v>
      </c>
      <c r="K184" s="81"/>
      <c r="L184" s="4" t="str">
        <f>"          INPUT TRUE-UP ARR (WITH &amp; WITHOUT INCENTIVES) FROM EACH PRIOR YEAR"</f>
        <v xml:space="preserve">          INPUT TRUE-UP ARR (WITH &amp; WITHOUT INCENTIVES) FROM EACH PRIOR YEAR</v>
      </c>
      <c r="Q184" s="81"/>
    </row>
    <row r="185" spans="1:17">
      <c r="A185" s="977"/>
      <c r="C185" s="487" t="s">
        <v>279</v>
      </c>
      <c r="D185" s="491">
        <f>H79</f>
        <v>42</v>
      </c>
      <c r="E185" s="487" t="s">
        <v>280</v>
      </c>
      <c r="F185" s="79"/>
      <c r="G185" s="79"/>
      <c r="I185"/>
      <c r="J185" s="490">
        <f>IF(H176="",J184,$F$69)</f>
        <v>0.14996626714737105</v>
      </c>
      <c r="K185" s="81"/>
      <c r="L185" s="4" t="s">
        <v>362</v>
      </c>
      <c r="M185" s="81"/>
      <c r="N185" s="81"/>
      <c r="O185" s="81"/>
      <c r="Q185" s="81"/>
    </row>
    <row r="186" spans="1:17" ht="13.5" thickBot="1">
      <c r="A186" s="977"/>
      <c r="C186" s="487" t="s">
        <v>281</v>
      </c>
      <c r="D186" s="637" t="s">
        <v>923</v>
      </c>
      <c r="E186" s="492" t="s">
        <v>282</v>
      </c>
      <c r="F186" s="493"/>
      <c r="G186" s="493"/>
      <c r="H186" s="494"/>
      <c r="I186" s="494"/>
      <c r="J186" s="480">
        <f>IF(D182=0,0,D182/D185)</f>
        <v>155458.54238095239</v>
      </c>
      <c r="K186" s="467"/>
      <c r="L186" s="467" t="s">
        <v>363</v>
      </c>
      <c r="M186" s="467"/>
      <c r="N186" s="467"/>
      <c r="O186" s="467"/>
      <c r="Q186" s="467"/>
    </row>
    <row r="187" spans="1:17" ht="38.25">
      <c r="A187" s="12"/>
      <c r="B187" s="12"/>
      <c r="C187" s="495" t="s">
        <v>272</v>
      </c>
      <c r="D187" s="496" t="s">
        <v>283</v>
      </c>
      <c r="E187" s="497" t="s">
        <v>284</v>
      </c>
      <c r="F187" s="496" t="s">
        <v>285</v>
      </c>
      <c r="G187" s="496" t="s">
        <v>458</v>
      </c>
      <c r="H187" s="497" t="s">
        <v>356</v>
      </c>
      <c r="I187" s="498" t="s">
        <v>356</v>
      </c>
      <c r="J187" s="495" t="s">
        <v>295</v>
      </c>
      <c r="K187" s="499"/>
      <c r="L187" s="497" t="s">
        <v>358</v>
      </c>
      <c r="M187" s="497" t="s">
        <v>364</v>
      </c>
      <c r="N187" s="497" t="s">
        <v>358</v>
      </c>
      <c r="O187" s="497" t="s">
        <v>366</v>
      </c>
      <c r="P187" s="497" t="s">
        <v>286</v>
      </c>
      <c r="Q187" s="128"/>
    </row>
    <row r="188" spans="1:17" ht="13.5" thickBot="1">
      <c r="C188" s="500" t="s">
        <v>177</v>
      </c>
      <c r="D188" s="501" t="s">
        <v>178</v>
      </c>
      <c r="E188" s="500" t="s">
        <v>37</v>
      </c>
      <c r="F188" s="501" t="s">
        <v>178</v>
      </c>
      <c r="G188" s="501" t="s">
        <v>178</v>
      </c>
      <c r="H188" s="502" t="s">
        <v>298</v>
      </c>
      <c r="I188" s="503" t="s">
        <v>300</v>
      </c>
      <c r="J188" s="500" t="s">
        <v>389</v>
      </c>
      <c r="K188" s="504"/>
      <c r="L188" s="502" t="s">
        <v>287</v>
      </c>
      <c r="M188" s="502" t="s">
        <v>287</v>
      </c>
      <c r="N188" s="502" t="s">
        <v>467</v>
      </c>
      <c r="O188" s="502" t="s">
        <v>467</v>
      </c>
      <c r="P188" s="502" t="s">
        <v>467</v>
      </c>
      <c r="Q188" s="135"/>
    </row>
    <row r="189" spans="1:17">
      <c r="C189" s="505">
        <f>IF(D183= "","-",D183)</f>
        <v>2012</v>
      </c>
      <c r="D189" s="469">
        <f>+D182</f>
        <v>6529258.7800000003</v>
      </c>
      <c r="E189" s="506">
        <f>+J186/12*(12-D184)</f>
        <v>12954.878531746033</v>
      </c>
      <c r="F189" s="548">
        <f t="shared" ref="F189:F248" si="16">+D189-E189</f>
        <v>6516303.9014682546</v>
      </c>
      <c r="G189" s="469">
        <f t="shared" ref="G189:G248" si="17">+(D189+F189)/2</f>
        <v>6522781.3407341279</v>
      </c>
      <c r="H189" s="507">
        <f>+J184*G189+E189</f>
        <v>991152.04762016726</v>
      </c>
      <c r="I189" s="508">
        <f>+J185*G189+E189</f>
        <v>991152.04762016726</v>
      </c>
      <c r="J189" s="509">
        <f t="shared" ref="J189:J248" si="18">+I189-H189</f>
        <v>0</v>
      </c>
      <c r="K189" s="509"/>
      <c r="L189" s="513">
        <v>832082.12760905991</v>
      </c>
      <c r="M189" s="549">
        <f t="shared" ref="M189:M248" si="19">IF(L189&lt;&gt;0,+H189-L189,0)</f>
        <v>159069.92001110734</v>
      </c>
      <c r="N189" s="513">
        <v>832082.12760905991</v>
      </c>
      <c r="O189" s="549">
        <f t="shared" ref="O189:O248" si="20">IF(N189&lt;&gt;0,+I189-N189,0)</f>
        <v>159069.92001110734</v>
      </c>
      <c r="P189" s="549">
        <f t="shared" ref="P189:P248" si="21">+O189-M189</f>
        <v>0</v>
      </c>
      <c r="Q189" s="471"/>
    </row>
    <row r="190" spans="1:17">
      <c r="C190" s="505">
        <f>IF(D183="","-",+C189+1)</f>
        <v>2013</v>
      </c>
      <c r="D190" s="469">
        <f t="shared" ref="D190:D248" si="22">F189</f>
        <v>6516303.9014682546</v>
      </c>
      <c r="E190" s="511">
        <f>IF(D190&gt;$J$186,$J$186,D190)</f>
        <v>155458.54238095239</v>
      </c>
      <c r="F190" s="511">
        <f t="shared" si="16"/>
        <v>6360845.3590873023</v>
      </c>
      <c r="G190" s="469">
        <f t="shared" si="17"/>
        <v>6438574.630277779</v>
      </c>
      <c r="H190" s="506">
        <f>+J184*G190+E190</f>
        <v>1121027.5454334756</v>
      </c>
      <c r="I190" s="512">
        <f>+J185*G190+E190</f>
        <v>1121027.5454334756</v>
      </c>
      <c r="J190" s="509">
        <f t="shared" si="18"/>
        <v>0</v>
      </c>
      <c r="K190" s="509"/>
      <c r="L190" s="513">
        <v>1210587</v>
      </c>
      <c r="M190" s="509">
        <f t="shared" si="19"/>
        <v>-89559.454566524364</v>
      </c>
      <c r="N190" s="513">
        <v>1210587</v>
      </c>
      <c r="O190" s="509">
        <f t="shared" si="20"/>
        <v>-89559.454566524364</v>
      </c>
      <c r="P190" s="509">
        <f t="shared" si="21"/>
        <v>0</v>
      </c>
      <c r="Q190" s="471"/>
    </row>
    <row r="191" spans="1:17">
      <c r="C191" s="505">
        <f>IF(D183="","-",+C190+1)</f>
        <v>2014</v>
      </c>
      <c r="D191" s="469">
        <f t="shared" si="22"/>
        <v>6360845.3590873023</v>
      </c>
      <c r="E191" s="511">
        <f t="shared" ref="E191:E248" si="23">IF(D191&gt;$J$186,$J$186,D191)</f>
        <v>155458.54238095239</v>
      </c>
      <c r="F191" s="511">
        <f t="shared" si="16"/>
        <v>6205386.8167063501</v>
      </c>
      <c r="G191" s="469">
        <f t="shared" si="17"/>
        <v>6283116.0878968257</v>
      </c>
      <c r="H191" s="506">
        <f>+J184*G191+E191</f>
        <v>1097714.0081364326</v>
      </c>
      <c r="I191" s="512">
        <f>+J185*G191+E191</f>
        <v>1097714.0081364326</v>
      </c>
      <c r="J191" s="509">
        <f t="shared" si="18"/>
        <v>0</v>
      </c>
      <c r="K191" s="509"/>
      <c r="L191" s="513">
        <v>1247628</v>
      </c>
      <c r="M191" s="509">
        <f t="shared" si="19"/>
        <v>-149913.99186356738</v>
      </c>
      <c r="N191" s="513">
        <v>1247628</v>
      </c>
      <c r="O191" s="509">
        <f t="shared" si="20"/>
        <v>-149913.99186356738</v>
      </c>
      <c r="P191" s="509">
        <f t="shared" si="21"/>
        <v>0</v>
      </c>
      <c r="Q191" s="471"/>
    </row>
    <row r="192" spans="1:17">
      <c r="C192" s="505">
        <f>IF(D183="","-",+C191+1)</f>
        <v>2015</v>
      </c>
      <c r="D192" s="469">
        <f t="shared" si="22"/>
        <v>6205386.8167063501</v>
      </c>
      <c r="E192" s="511">
        <f t="shared" si="23"/>
        <v>155458.54238095239</v>
      </c>
      <c r="F192" s="511">
        <f t="shared" si="16"/>
        <v>6049928.2743253978</v>
      </c>
      <c r="G192" s="469">
        <f t="shared" si="17"/>
        <v>6127657.5455158744</v>
      </c>
      <c r="H192" s="506">
        <f>+J184*G192+E192</f>
        <v>1074400.4708393901</v>
      </c>
      <c r="I192" s="512">
        <f>+J185*G192+E192</f>
        <v>1074400.4708393901</v>
      </c>
      <c r="J192" s="509">
        <f t="shared" si="18"/>
        <v>0</v>
      </c>
      <c r="K192" s="509"/>
      <c r="L192" s="513">
        <v>1279512</v>
      </c>
      <c r="M192" s="509">
        <f t="shared" si="19"/>
        <v>-205111.52916060993</v>
      </c>
      <c r="N192" s="513">
        <v>1279512</v>
      </c>
      <c r="O192" s="509">
        <f t="shared" si="20"/>
        <v>-205111.52916060993</v>
      </c>
      <c r="P192" s="509">
        <f t="shared" si="21"/>
        <v>0</v>
      </c>
      <c r="Q192" s="471"/>
    </row>
    <row r="193" spans="3:17">
      <c r="C193" s="505">
        <f>IF(D183="","-",+C192+1)</f>
        <v>2016</v>
      </c>
      <c r="D193" s="469">
        <f t="shared" si="22"/>
        <v>6049928.2743253978</v>
      </c>
      <c r="E193" s="511">
        <f t="shared" si="23"/>
        <v>155458.54238095239</v>
      </c>
      <c r="F193" s="511">
        <f t="shared" si="16"/>
        <v>5894469.7319444455</v>
      </c>
      <c r="G193" s="469">
        <f t="shared" si="17"/>
        <v>5972199.0031349212</v>
      </c>
      <c r="H193" s="506">
        <f>+J184*G193+E193</f>
        <v>1051086.933542347</v>
      </c>
      <c r="I193" s="512">
        <f>+J185*G193+E193</f>
        <v>1051086.933542347</v>
      </c>
      <c r="J193" s="509">
        <f t="shared" si="18"/>
        <v>0</v>
      </c>
      <c r="K193" s="509"/>
      <c r="L193" s="513">
        <v>1233385</v>
      </c>
      <c r="M193" s="509">
        <f t="shared" si="19"/>
        <v>-182298.06645765295</v>
      </c>
      <c r="N193" s="513">
        <v>1233385</v>
      </c>
      <c r="O193" s="509">
        <f t="shared" si="20"/>
        <v>-182298.06645765295</v>
      </c>
      <c r="P193" s="509">
        <f t="shared" si="21"/>
        <v>0</v>
      </c>
      <c r="Q193" s="471"/>
    </row>
    <row r="194" spans="3:17">
      <c r="C194" s="505">
        <f>IF(D183="","-",+C193+1)</f>
        <v>2017</v>
      </c>
      <c r="D194" s="469">
        <f t="shared" si="22"/>
        <v>5894469.7319444455</v>
      </c>
      <c r="E194" s="511">
        <f t="shared" si="23"/>
        <v>155458.54238095239</v>
      </c>
      <c r="F194" s="511">
        <f t="shared" si="16"/>
        <v>5739011.1895634932</v>
      </c>
      <c r="G194" s="469">
        <f t="shared" si="17"/>
        <v>5816740.4607539698</v>
      </c>
      <c r="H194" s="506">
        <f>+J184*G194+E194</f>
        <v>1027773.3962453044</v>
      </c>
      <c r="I194" s="512">
        <f>+J185*G194+E194</f>
        <v>1027773.3962453044</v>
      </c>
      <c r="J194" s="509">
        <f t="shared" si="18"/>
        <v>0</v>
      </c>
      <c r="K194" s="509"/>
      <c r="L194" s="513">
        <v>1245646</v>
      </c>
      <c r="M194" s="509">
        <f t="shared" si="19"/>
        <v>-217872.60375469562</v>
      </c>
      <c r="N194" s="513">
        <v>1245646</v>
      </c>
      <c r="O194" s="509">
        <f t="shared" si="20"/>
        <v>-217872.60375469562</v>
      </c>
      <c r="P194" s="509">
        <f t="shared" si="21"/>
        <v>0</v>
      </c>
      <c r="Q194" s="471"/>
    </row>
    <row r="195" spans="3:17">
      <c r="C195" s="505">
        <f>IF(D183="","-",+C194+1)</f>
        <v>2018</v>
      </c>
      <c r="D195" s="469">
        <f t="shared" si="22"/>
        <v>5739011.1895634932</v>
      </c>
      <c r="E195" s="511">
        <f t="shared" si="23"/>
        <v>155458.54238095239</v>
      </c>
      <c r="F195" s="511">
        <f t="shared" si="16"/>
        <v>5583552.647182541</v>
      </c>
      <c r="G195" s="469">
        <f t="shared" si="17"/>
        <v>5661281.9183730166</v>
      </c>
      <c r="H195" s="506">
        <f>+J184*G195+E195</f>
        <v>1004459.8589482615</v>
      </c>
      <c r="I195" s="512">
        <f>+J185*G195+E195</f>
        <v>1004459.8589482615</v>
      </c>
      <c r="J195" s="509">
        <f t="shared" si="18"/>
        <v>0</v>
      </c>
      <c r="K195" s="509"/>
      <c r="L195" s="513">
        <v>1010825</v>
      </c>
      <c r="M195" s="509">
        <f t="shared" si="19"/>
        <v>-6365.1410517385229</v>
      </c>
      <c r="N195" s="513">
        <v>1010825</v>
      </c>
      <c r="O195" s="509">
        <f t="shared" si="20"/>
        <v>-6365.1410517385229</v>
      </c>
      <c r="P195" s="509">
        <f t="shared" si="21"/>
        <v>0</v>
      </c>
      <c r="Q195" s="471"/>
    </row>
    <row r="196" spans="3:17">
      <c r="C196" s="505">
        <f>IF(D183="","-",+C195+1)</f>
        <v>2019</v>
      </c>
      <c r="D196" s="469">
        <f t="shared" si="22"/>
        <v>5583552.647182541</v>
      </c>
      <c r="E196" s="511">
        <f t="shared" si="23"/>
        <v>155458.54238095239</v>
      </c>
      <c r="F196" s="511">
        <f t="shared" si="16"/>
        <v>5428094.1048015887</v>
      </c>
      <c r="G196" s="469">
        <f t="shared" si="17"/>
        <v>5505823.3759920653</v>
      </c>
      <c r="H196" s="506">
        <f>+J184*G196+E196</f>
        <v>981146.32165121881</v>
      </c>
      <c r="I196" s="512">
        <f>+J185*G196+E196</f>
        <v>981146.32165121881</v>
      </c>
      <c r="J196" s="509">
        <f t="shared" si="18"/>
        <v>0</v>
      </c>
      <c r="K196" s="509"/>
      <c r="L196" s="513">
        <v>982301</v>
      </c>
      <c r="M196" s="509">
        <f t="shared" si="19"/>
        <v>-1154.6783487811917</v>
      </c>
      <c r="N196" s="513">
        <v>982301</v>
      </c>
      <c r="O196" s="509">
        <f t="shared" si="20"/>
        <v>-1154.6783487811917</v>
      </c>
      <c r="P196" s="509">
        <f t="shared" si="21"/>
        <v>0</v>
      </c>
      <c r="Q196" s="471"/>
    </row>
    <row r="197" spans="3:17">
      <c r="C197" s="505">
        <f>IF(D183="","-",+C196+1)</f>
        <v>2020</v>
      </c>
      <c r="D197" s="469">
        <f t="shared" si="22"/>
        <v>5428094.1048015887</v>
      </c>
      <c r="E197" s="511">
        <f t="shared" si="23"/>
        <v>155458.54238095239</v>
      </c>
      <c r="F197" s="511">
        <f t="shared" si="16"/>
        <v>5272635.5624206364</v>
      </c>
      <c r="G197" s="469">
        <f t="shared" si="17"/>
        <v>5350364.8336111121</v>
      </c>
      <c r="H197" s="506">
        <f>+J184*G197+E197</f>
        <v>957832.78435417591</v>
      </c>
      <c r="I197" s="512">
        <f>+J185*G197+E197</f>
        <v>957832.78435417591</v>
      </c>
      <c r="J197" s="509">
        <f t="shared" si="18"/>
        <v>0</v>
      </c>
      <c r="K197" s="509"/>
      <c r="L197" s="513">
        <v>945780.64156590321</v>
      </c>
      <c r="M197" s="509">
        <f t="shared" si="19"/>
        <v>12052.1427882727</v>
      </c>
      <c r="N197" s="513">
        <v>945780.64156590321</v>
      </c>
      <c r="O197" s="509">
        <f t="shared" si="20"/>
        <v>12052.1427882727</v>
      </c>
      <c r="P197" s="509">
        <f t="shared" si="21"/>
        <v>0</v>
      </c>
      <c r="Q197" s="471"/>
    </row>
    <row r="198" spans="3:17">
      <c r="C198" s="963">
        <f>IF(D183="","-",+C197+1)</f>
        <v>2021</v>
      </c>
      <c r="D198" s="469">
        <f t="shared" si="22"/>
        <v>5272635.5624206364</v>
      </c>
      <c r="E198" s="511">
        <f t="shared" si="23"/>
        <v>155458.54238095239</v>
      </c>
      <c r="F198" s="511">
        <f t="shared" si="16"/>
        <v>5117177.0200396841</v>
      </c>
      <c r="G198" s="469">
        <f t="shared" si="17"/>
        <v>5194906.2912301607</v>
      </c>
      <c r="H198" s="506">
        <f>+J184*G198+E198</f>
        <v>934519.24705713324</v>
      </c>
      <c r="I198" s="512">
        <f>+J185*G198+E198</f>
        <v>934519.24705713324</v>
      </c>
      <c r="J198" s="509">
        <f t="shared" si="18"/>
        <v>0</v>
      </c>
      <c r="K198" s="509"/>
      <c r="L198" s="513">
        <v>901777.82576866914</v>
      </c>
      <c r="M198" s="509">
        <f t="shared" si="19"/>
        <v>32741.421288464102</v>
      </c>
      <c r="N198" s="513">
        <v>901777.82576866914</v>
      </c>
      <c r="O198" s="509">
        <f t="shared" si="20"/>
        <v>32741.421288464102</v>
      </c>
      <c r="P198" s="509">
        <f t="shared" si="21"/>
        <v>0</v>
      </c>
      <c r="Q198" s="471"/>
    </row>
    <row r="199" spans="3:17">
      <c r="C199" s="505">
        <f>IF(D183="","-",+C198+1)</f>
        <v>2022</v>
      </c>
      <c r="D199" s="469">
        <f t="shared" si="22"/>
        <v>5117177.0200396841</v>
      </c>
      <c r="E199" s="511">
        <f t="shared" si="23"/>
        <v>155458.54238095239</v>
      </c>
      <c r="F199" s="511">
        <f t="shared" si="16"/>
        <v>4961718.4776587319</v>
      </c>
      <c r="G199" s="469">
        <f t="shared" si="17"/>
        <v>5039447.7488492075</v>
      </c>
      <c r="H199" s="506">
        <f>+J184*G199+E199</f>
        <v>911205.70976009034</v>
      </c>
      <c r="I199" s="512">
        <f>+J185*G199+E199</f>
        <v>911205.70976009034</v>
      </c>
      <c r="J199" s="509">
        <f t="shared" si="18"/>
        <v>0</v>
      </c>
      <c r="K199" s="509"/>
      <c r="L199" s="513">
        <v>884126.31134069955</v>
      </c>
      <c r="M199" s="509">
        <f t="shared" si="19"/>
        <v>27079.398419390782</v>
      </c>
      <c r="N199" s="513">
        <v>884126.31134069955</v>
      </c>
      <c r="O199" s="509">
        <f t="shared" si="20"/>
        <v>27079.398419390782</v>
      </c>
      <c r="P199" s="509">
        <f t="shared" si="21"/>
        <v>0</v>
      </c>
      <c r="Q199" s="471"/>
    </row>
    <row r="200" spans="3:17">
      <c r="C200" s="505">
        <f>IF(D183="","-",+C199+1)</f>
        <v>2023</v>
      </c>
      <c r="D200" s="469">
        <f t="shared" si="22"/>
        <v>4961718.4776587319</v>
      </c>
      <c r="E200" s="511">
        <f t="shared" si="23"/>
        <v>155458.54238095239</v>
      </c>
      <c r="F200" s="511">
        <f t="shared" si="16"/>
        <v>4806259.9352777796</v>
      </c>
      <c r="G200" s="469">
        <f t="shared" si="17"/>
        <v>4883989.2064682562</v>
      </c>
      <c r="H200" s="506">
        <f>+J184*G200+E200</f>
        <v>887892.17246304767</v>
      </c>
      <c r="I200" s="512">
        <f>+J185*G200+E200</f>
        <v>887892.17246304767</v>
      </c>
      <c r="J200" s="509">
        <f t="shared" si="18"/>
        <v>0</v>
      </c>
      <c r="K200" s="509"/>
      <c r="L200" s="513">
        <v>896254.29667143419</v>
      </c>
      <c r="M200" s="509">
        <f t="shared" si="19"/>
        <v>-8362.1242083865218</v>
      </c>
      <c r="N200" s="513">
        <v>896254.29667143419</v>
      </c>
      <c r="O200" s="509">
        <f t="shared" si="20"/>
        <v>-8362.1242083865218</v>
      </c>
      <c r="P200" s="509">
        <f t="shared" si="21"/>
        <v>0</v>
      </c>
      <c r="Q200" s="471"/>
    </row>
    <row r="201" spans="3:17">
      <c r="C201" s="505">
        <f>IF(D183="","-",+C200+1)</f>
        <v>2024</v>
      </c>
      <c r="D201" s="469">
        <f t="shared" si="22"/>
        <v>4806259.9352777796</v>
      </c>
      <c r="E201" s="511">
        <f t="shared" si="23"/>
        <v>155458.54238095239</v>
      </c>
      <c r="F201" s="511">
        <f t="shared" si="16"/>
        <v>4650801.3928968273</v>
      </c>
      <c r="G201" s="469">
        <f t="shared" si="17"/>
        <v>4728530.664087303</v>
      </c>
      <c r="H201" s="506">
        <f>+J184*G201+E201</f>
        <v>864578.63516600465</v>
      </c>
      <c r="I201" s="512">
        <f>+J185*G201+E201</f>
        <v>864578.63516600465</v>
      </c>
      <c r="J201" s="509">
        <f t="shared" si="18"/>
        <v>0</v>
      </c>
      <c r="K201" s="509"/>
      <c r="L201" s="513">
        <v>869370.98910499003</v>
      </c>
      <c r="M201" s="509">
        <f t="shared" si="19"/>
        <v>-4792.3539389853831</v>
      </c>
      <c r="N201" s="513">
        <v>869370.98910499003</v>
      </c>
      <c r="O201" s="509">
        <f t="shared" si="20"/>
        <v>-4792.3539389853831</v>
      </c>
      <c r="P201" s="509">
        <f t="shared" si="21"/>
        <v>0</v>
      </c>
      <c r="Q201" s="471"/>
    </row>
    <row r="202" spans="3:17">
      <c r="C202" s="505">
        <f>IF(D183="","-",+C201+1)</f>
        <v>2025</v>
      </c>
      <c r="D202" s="469">
        <f t="shared" si="22"/>
        <v>4650801.3928968273</v>
      </c>
      <c r="E202" s="511">
        <f t="shared" si="23"/>
        <v>155458.54238095239</v>
      </c>
      <c r="F202" s="511">
        <f t="shared" si="16"/>
        <v>4495342.850515875</v>
      </c>
      <c r="G202" s="469">
        <f t="shared" si="17"/>
        <v>4573072.1217063516</v>
      </c>
      <c r="H202" s="506">
        <f>+J184*G202+E202</f>
        <v>841265.0978689621</v>
      </c>
      <c r="I202" s="512">
        <f>+J185*G202+E202</f>
        <v>841265.0978689621</v>
      </c>
      <c r="J202" s="509">
        <f t="shared" si="18"/>
        <v>0</v>
      </c>
      <c r="K202" s="509"/>
      <c r="L202" s="513">
        <v>820217.30347019713</v>
      </c>
      <c r="M202" s="509">
        <f t="shared" si="19"/>
        <v>21047.794398764963</v>
      </c>
      <c r="N202" s="513">
        <v>820217.30347019713</v>
      </c>
      <c r="O202" s="509">
        <f t="shared" si="20"/>
        <v>21047.794398764963</v>
      </c>
      <c r="P202" s="509">
        <f t="shared" si="21"/>
        <v>0</v>
      </c>
      <c r="Q202" s="471"/>
    </row>
    <row r="203" spans="3:17">
      <c r="C203" s="505">
        <f>IF(D183="","-",+C202+1)</f>
        <v>2026</v>
      </c>
      <c r="D203" s="469">
        <f t="shared" si="22"/>
        <v>4495342.850515875</v>
      </c>
      <c r="E203" s="511">
        <f t="shared" si="23"/>
        <v>155458.54238095239</v>
      </c>
      <c r="F203" s="511">
        <f t="shared" si="16"/>
        <v>4339884.3081349228</v>
      </c>
      <c r="G203" s="469">
        <f t="shared" si="17"/>
        <v>4417613.5793253984</v>
      </c>
      <c r="H203" s="506">
        <f>+J184*G203+E203</f>
        <v>817951.56057191908</v>
      </c>
      <c r="I203" s="512">
        <f>+J185*G203+E203</f>
        <v>817951.56057191908</v>
      </c>
      <c r="J203" s="509">
        <f t="shared" si="18"/>
        <v>0</v>
      </c>
      <c r="K203" s="509"/>
      <c r="L203" s="513"/>
      <c r="M203" s="509">
        <f t="shared" si="19"/>
        <v>0</v>
      </c>
      <c r="N203" s="513"/>
      <c r="O203" s="509">
        <f t="shared" si="20"/>
        <v>0</v>
      </c>
      <c r="P203" s="509">
        <f t="shared" si="21"/>
        <v>0</v>
      </c>
      <c r="Q203" s="471"/>
    </row>
    <row r="204" spans="3:17">
      <c r="C204" s="505">
        <f>IF(D183="","-",+C203+1)</f>
        <v>2027</v>
      </c>
      <c r="D204" s="469">
        <f t="shared" si="22"/>
        <v>4339884.3081349228</v>
      </c>
      <c r="E204" s="511">
        <f t="shared" si="23"/>
        <v>155458.54238095239</v>
      </c>
      <c r="F204" s="511">
        <f t="shared" si="16"/>
        <v>4184425.7657539705</v>
      </c>
      <c r="G204" s="469">
        <f t="shared" si="17"/>
        <v>4262155.0369444471</v>
      </c>
      <c r="H204" s="506">
        <f>+J184*G204+E204</f>
        <v>794638.02327487641</v>
      </c>
      <c r="I204" s="512">
        <f>+J185*G204+E204</f>
        <v>794638.02327487641</v>
      </c>
      <c r="J204" s="509">
        <f t="shared" si="18"/>
        <v>0</v>
      </c>
      <c r="K204" s="509"/>
      <c r="L204" s="513"/>
      <c r="M204" s="509">
        <f t="shared" si="19"/>
        <v>0</v>
      </c>
      <c r="N204" s="513"/>
      <c r="O204" s="509">
        <f t="shared" si="20"/>
        <v>0</v>
      </c>
      <c r="P204" s="509">
        <f t="shared" si="21"/>
        <v>0</v>
      </c>
      <c r="Q204" s="471"/>
    </row>
    <row r="205" spans="3:17">
      <c r="C205" s="505">
        <f>IF(D183="","-",+C204+1)</f>
        <v>2028</v>
      </c>
      <c r="D205" s="469">
        <f t="shared" si="22"/>
        <v>4184425.7657539705</v>
      </c>
      <c r="E205" s="511">
        <f t="shared" si="23"/>
        <v>155458.54238095239</v>
      </c>
      <c r="F205" s="511">
        <f t="shared" si="16"/>
        <v>4028967.2233730182</v>
      </c>
      <c r="G205" s="469">
        <f t="shared" si="17"/>
        <v>4106696.4945634943</v>
      </c>
      <c r="H205" s="506">
        <f>+J184*G205+E205</f>
        <v>771324.48597783362</v>
      </c>
      <c r="I205" s="512">
        <f>+J185*G205+E205</f>
        <v>771324.48597783362</v>
      </c>
      <c r="J205" s="509">
        <f t="shared" si="18"/>
        <v>0</v>
      </c>
      <c r="K205" s="509"/>
      <c r="L205" s="513"/>
      <c r="M205" s="509">
        <f t="shared" si="19"/>
        <v>0</v>
      </c>
      <c r="N205" s="513"/>
      <c r="O205" s="509">
        <f t="shared" si="20"/>
        <v>0</v>
      </c>
      <c r="P205" s="509">
        <f t="shared" si="21"/>
        <v>0</v>
      </c>
      <c r="Q205" s="471"/>
    </row>
    <row r="206" spans="3:17">
      <c r="C206" s="505">
        <f>IF(D183="","-",+C205+1)</f>
        <v>2029</v>
      </c>
      <c r="D206" s="469">
        <f t="shared" si="22"/>
        <v>4028967.2233730182</v>
      </c>
      <c r="E206" s="511">
        <f t="shared" si="23"/>
        <v>155458.54238095239</v>
      </c>
      <c r="F206" s="511">
        <f t="shared" si="16"/>
        <v>3873508.6809920659</v>
      </c>
      <c r="G206" s="469">
        <f t="shared" si="17"/>
        <v>3951237.9521825421</v>
      </c>
      <c r="H206" s="506">
        <f>+J184*G206+E206</f>
        <v>748010.94868079084</v>
      </c>
      <c r="I206" s="512">
        <f>+J185*G206+E206</f>
        <v>748010.94868079084</v>
      </c>
      <c r="J206" s="509">
        <f t="shared" si="18"/>
        <v>0</v>
      </c>
      <c r="K206" s="509"/>
      <c r="L206" s="513"/>
      <c r="M206" s="509">
        <f t="shared" si="19"/>
        <v>0</v>
      </c>
      <c r="N206" s="513"/>
      <c r="O206" s="509">
        <f t="shared" si="20"/>
        <v>0</v>
      </c>
      <c r="P206" s="509">
        <f t="shared" si="21"/>
        <v>0</v>
      </c>
      <c r="Q206" s="471"/>
    </row>
    <row r="207" spans="3:17">
      <c r="C207" s="505">
        <f>IF(D183="","-",+C206+1)</f>
        <v>2030</v>
      </c>
      <c r="D207" s="469">
        <f t="shared" si="22"/>
        <v>3873508.6809920659</v>
      </c>
      <c r="E207" s="511">
        <f t="shared" si="23"/>
        <v>155458.54238095239</v>
      </c>
      <c r="F207" s="511">
        <f t="shared" si="16"/>
        <v>3718050.1386111137</v>
      </c>
      <c r="G207" s="469">
        <f t="shared" si="17"/>
        <v>3795779.4098015898</v>
      </c>
      <c r="H207" s="506">
        <f>+J184*G207+E207</f>
        <v>724697.41138374805</v>
      </c>
      <c r="I207" s="512">
        <f>+J185*G207+E207</f>
        <v>724697.41138374805</v>
      </c>
      <c r="J207" s="509">
        <f t="shared" si="18"/>
        <v>0</v>
      </c>
      <c r="K207" s="509"/>
      <c r="L207" s="513"/>
      <c r="M207" s="509">
        <f t="shared" si="19"/>
        <v>0</v>
      </c>
      <c r="N207" s="513"/>
      <c r="O207" s="509">
        <f t="shared" si="20"/>
        <v>0</v>
      </c>
      <c r="P207" s="509">
        <f t="shared" si="21"/>
        <v>0</v>
      </c>
      <c r="Q207" s="471"/>
    </row>
    <row r="208" spans="3:17">
      <c r="C208" s="505">
        <f>IF(D183="","-",+C207+1)</f>
        <v>2031</v>
      </c>
      <c r="D208" s="469">
        <f t="shared" si="22"/>
        <v>3718050.1386111137</v>
      </c>
      <c r="E208" s="511">
        <f t="shared" si="23"/>
        <v>155458.54238095239</v>
      </c>
      <c r="F208" s="511">
        <f t="shared" si="16"/>
        <v>3562591.5962301614</v>
      </c>
      <c r="G208" s="469">
        <f t="shared" si="17"/>
        <v>3640320.8674206375</v>
      </c>
      <c r="H208" s="506">
        <f>+J184*G208+E208</f>
        <v>701383.87408670527</v>
      </c>
      <c r="I208" s="512">
        <f>+J185*G208+E208</f>
        <v>701383.87408670527</v>
      </c>
      <c r="J208" s="509">
        <f t="shared" si="18"/>
        <v>0</v>
      </c>
      <c r="K208" s="509"/>
      <c r="L208" s="513"/>
      <c r="M208" s="509">
        <f t="shared" si="19"/>
        <v>0</v>
      </c>
      <c r="N208" s="513"/>
      <c r="O208" s="509">
        <f t="shared" si="20"/>
        <v>0</v>
      </c>
      <c r="P208" s="509">
        <f t="shared" si="21"/>
        <v>0</v>
      </c>
      <c r="Q208" s="471"/>
    </row>
    <row r="209" spans="3:17">
      <c r="C209" s="505">
        <f>IF(D183="","-",+C208+1)</f>
        <v>2032</v>
      </c>
      <c r="D209" s="469">
        <f t="shared" si="22"/>
        <v>3562591.5962301614</v>
      </c>
      <c r="E209" s="511">
        <f t="shared" si="23"/>
        <v>155458.54238095239</v>
      </c>
      <c r="F209" s="511">
        <f t="shared" si="16"/>
        <v>3407133.0538492091</v>
      </c>
      <c r="G209" s="469">
        <f t="shared" si="17"/>
        <v>3484862.3250396852</v>
      </c>
      <c r="H209" s="506">
        <f>+J184*G209+E209</f>
        <v>678070.33678966248</v>
      </c>
      <c r="I209" s="512">
        <f>+J185*G209+E209</f>
        <v>678070.33678966248</v>
      </c>
      <c r="J209" s="509">
        <f t="shared" si="18"/>
        <v>0</v>
      </c>
      <c r="K209" s="509"/>
      <c r="L209" s="513"/>
      <c r="M209" s="509">
        <f t="shared" si="19"/>
        <v>0</v>
      </c>
      <c r="N209" s="513"/>
      <c r="O209" s="509">
        <f t="shared" si="20"/>
        <v>0</v>
      </c>
      <c r="P209" s="509">
        <f t="shared" si="21"/>
        <v>0</v>
      </c>
      <c r="Q209" s="471"/>
    </row>
    <row r="210" spans="3:17">
      <c r="C210" s="505">
        <f>IF(D183="","-",+C209+1)</f>
        <v>2033</v>
      </c>
      <c r="D210" s="469">
        <f t="shared" si="22"/>
        <v>3407133.0538492091</v>
      </c>
      <c r="E210" s="511">
        <f t="shared" si="23"/>
        <v>155458.54238095239</v>
      </c>
      <c r="F210" s="511">
        <f t="shared" si="16"/>
        <v>3251674.5114682568</v>
      </c>
      <c r="G210" s="469">
        <f t="shared" si="17"/>
        <v>3329403.782658733</v>
      </c>
      <c r="H210" s="506">
        <f>+J184*G210+E210</f>
        <v>654756.7994926197</v>
      </c>
      <c r="I210" s="512">
        <f>+J185*G210+E210</f>
        <v>654756.7994926197</v>
      </c>
      <c r="J210" s="509">
        <f t="shared" si="18"/>
        <v>0</v>
      </c>
      <c r="K210" s="509"/>
      <c r="L210" s="513"/>
      <c r="M210" s="509">
        <f t="shared" si="19"/>
        <v>0</v>
      </c>
      <c r="N210" s="513"/>
      <c r="O210" s="509">
        <f t="shared" si="20"/>
        <v>0</v>
      </c>
      <c r="P210" s="509">
        <f t="shared" si="21"/>
        <v>0</v>
      </c>
      <c r="Q210" s="471"/>
    </row>
    <row r="211" spans="3:17">
      <c r="C211" s="505">
        <f>IF(D183="","-",+C210+1)</f>
        <v>2034</v>
      </c>
      <c r="D211" s="469">
        <f t="shared" si="22"/>
        <v>3251674.5114682568</v>
      </c>
      <c r="E211" s="511">
        <f t="shared" si="23"/>
        <v>155458.54238095239</v>
      </c>
      <c r="F211" s="511">
        <f t="shared" si="16"/>
        <v>3096215.9690873045</v>
      </c>
      <c r="G211" s="469">
        <f t="shared" si="17"/>
        <v>3173945.2402777807</v>
      </c>
      <c r="H211" s="506">
        <f>+J184*G211+E211</f>
        <v>631443.26219557691</v>
      </c>
      <c r="I211" s="512">
        <f>+J185*G211+E211</f>
        <v>631443.26219557691</v>
      </c>
      <c r="J211" s="509">
        <f t="shared" si="18"/>
        <v>0</v>
      </c>
      <c r="K211" s="509"/>
      <c r="L211" s="513"/>
      <c r="M211" s="509">
        <f t="shared" si="19"/>
        <v>0</v>
      </c>
      <c r="N211" s="513"/>
      <c r="O211" s="509">
        <f t="shared" si="20"/>
        <v>0</v>
      </c>
      <c r="P211" s="509">
        <f t="shared" si="21"/>
        <v>0</v>
      </c>
      <c r="Q211" s="471"/>
    </row>
    <row r="212" spans="3:17">
      <c r="C212" s="505">
        <f>IF(D183="","-",+C211+1)</f>
        <v>2035</v>
      </c>
      <c r="D212" s="469">
        <f t="shared" si="22"/>
        <v>3096215.9690873045</v>
      </c>
      <c r="E212" s="511">
        <f t="shared" si="23"/>
        <v>155458.54238095239</v>
      </c>
      <c r="F212" s="511">
        <f t="shared" si="16"/>
        <v>2940757.4267063523</v>
      </c>
      <c r="G212" s="469">
        <f t="shared" si="17"/>
        <v>3018486.6978968284</v>
      </c>
      <c r="H212" s="506">
        <f>+J184*G212+E212</f>
        <v>608129.72489853413</v>
      </c>
      <c r="I212" s="512">
        <f>+J185*G212+E212</f>
        <v>608129.72489853413</v>
      </c>
      <c r="J212" s="509">
        <f t="shared" si="18"/>
        <v>0</v>
      </c>
      <c r="K212" s="509"/>
      <c r="L212" s="513"/>
      <c r="M212" s="509">
        <f t="shared" si="19"/>
        <v>0</v>
      </c>
      <c r="N212" s="513"/>
      <c r="O212" s="509">
        <f t="shared" si="20"/>
        <v>0</v>
      </c>
      <c r="P212" s="509">
        <f t="shared" si="21"/>
        <v>0</v>
      </c>
      <c r="Q212" s="471"/>
    </row>
    <row r="213" spans="3:17">
      <c r="C213" s="505">
        <f>IF(D183="","-",+C212+1)</f>
        <v>2036</v>
      </c>
      <c r="D213" s="469">
        <f t="shared" si="22"/>
        <v>2940757.4267063523</v>
      </c>
      <c r="E213" s="511">
        <f t="shared" si="23"/>
        <v>155458.54238095239</v>
      </c>
      <c r="F213" s="511">
        <f t="shared" si="16"/>
        <v>2785298.8843254</v>
      </c>
      <c r="G213" s="469">
        <f t="shared" si="17"/>
        <v>2863028.1555158761</v>
      </c>
      <c r="H213" s="506">
        <f>+J184*G213+E213</f>
        <v>584816.18760149123</v>
      </c>
      <c r="I213" s="512">
        <f>+J185*G213+E213</f>
        <v>584816.18760149123</v>
      </c>
      <c r="J213" s="509">
        <f t="shared" si="18"/>
        <v>0</v>
      </c>
      <c r="K213" s="509"/>
      <c r="L213" s="513"/>
      <c r="M213" s="509">
        <f t="shared" si="19"/>
        <v>0</v>
      </c>
      <c r="N213" s="513"/>
      <c r="O213" s="509">
        <f t="shared" si="20"/>
        <v>0</v>
      </c>
      <c r="P213" s="509">
        <f t="shared" si="21"/>
        <v>0</v>
      </c>
      <c r="Q213" s="471"/>
    </row>
    <row r="214" spans="3:17">
      <c r="C214" s="505">
        <f>IF(D183="","-",+C213+1)</f>
        <v>2037</v>
      </c>
      <c r="D214" s="469">
        <f t="shared" si="22"/>
        <v>2785298.8843254</v>
      </c>
      <c r="E214" s="511">
        <f t="shared" si="23"/>
        <v>155458.54238095239</v>
      </c>
      <c r="F214" s="511">
        <f t="shared" si="16"/>
        <v>2629840.3419444477</v>
      </c>
      <c r="G214" s="469">
        <f t="shared" si="17"/>
        <v>2707569.6131349239</v>
      </c>
      <c r="H214" s="506">
        <f>+J184*G214+E214</f>
        <v>561502.65030444844</v>
      </c>
      <c r="I214" s="512">
        <f>+J185*G214+E214</f>
        <v>561502.65030444844</v>
      </c>
      <c r="J214" s="509">
        <f t="shared" si="18"/>
        <v>0</v>
      </c>
      <c r="K214" s="509"/>
      <c r="L214" s="513"/>
      <c r="M214" s="509">
        <f t="shared" si="19"/>
        <v>0</v>
      </c>
      <c r="N214" s="513"/>
      <c r="O214" s="509">
        <f t="shared" si="20"/>
        <v>0</v>
      </c>
      <c r="P214" s="509">
        <f t="shared" si="21"/>
        <v>0</v>
      </c>
      <c r="Q214" s="471"/>
    </row>
    <row r="215" spans="3:17">
      <c r="C215" s="505">
        <f>IF(D183="","-",+C214+1)</f>
        <v>2038</v>
      </c>
      <c r="D215" s="469">
        <f t="shared" si="22"/>
        <v>2629840.3419444477</v>
      </c>
      <c r="E215" s="511">
        <f t="shared" si="23"/>
        <v>155458.54238095239</v>
      </c>
      <c r="F215" s="511">
        <f t="shared" si="16"/>
        <v>2474381.7995634954</v>
      </c>
      <c r="G215" s="469">
        <f t="shared" si="17"/>
        <v>2552111.0707539716</v>
      </c>
      <c r="H215" s="506">
        <f>+J184*G215+E215</f>
        <v>538189.11300740566</v>
      </c>
      <c r="I215" s="512">
        <f>+J185*G215+E215</f>
        <v>538189.11300740566</v>
      </c>
      <c r="J215" s="509">
        <f t="shared" si="18"/>
        <v>0</v>
      </c>
      <c r="K215" s="509"/>
      <c r="L215" s="513"/>
      <c r="M215" s="509">
        <f t="shared" si="19"/>
        <v>0</v>
      </c>
      <c r="N215" s="513"/>
      <c r="O215" s="509">
        <f t="shared" si="20"/>
        <v>0</v>
      </c>
      <c r="P215" s="509">
        <f t="shared" si="21"/>
        <v>0</v>
      </c>
      <c r="Q215" s="471"/>
    </row>
    <row r="216" spans="3:17">
      <c r="C216" s="505">
        <f>IF(D183="","-",+C215+1)</f>
        <v>2039</v>
      </c>
      <c r="D216" s="469">
        <f t="shared" si="22"/>
        <v>2474381.7995634954</v>
      </c>
      <c r="E216" s="511">
        <f t="shared" si="23"/>
        <v>155458.54238095239</v>
      </c>
      <c r="F216" s="511">
        <f t="shared" si="16"/>
        <v>2318923.2571825432</v>
      </c>
      <c r="G216" s="469">
        <f t="shared" si="17"/>
        <v>2396652.5283730193</v>
      </c>
      <c r="H216" s="506">
        <f>+J184*G216+E216</f>
        <v>514875.57571036287</v>
      </c>
      <c r="I216" s="512">
        <f>+J185*G216+E216</f>
        <v>514875.57571036287</v>
      </c>
      <c r="J216" s="509">
        <f t="shared" si="18"/>
        <v>0</v>
      </c>
      <c r="K216" s="509"/>
      <c r="L216" s="513"/>
      <c r="M216" s="509">
        <f t="shared" si="19"/>
        <v>0</v>
      </c>
      <c r="N216" s="513"/>
      <c r="O216" s="509">
        <f t="shared" si="20"/>
        <v>0</v>
      </c>
      <c r="P216" s="509">
        <f t="shared" si="21"/>
        <v>0</v>
      </c>
      <c r="Q216" s="471"/>
    </row>
    <row r="217" spans="3:17">
      <c r="C217" s="505">
        <f>IF(D183="","-",+C216+1)</f>
        <v>2040</v>
      </c>
      <c r="D217" s="469">
        <f t="shared" si="22"/>
        <v>2318923.2571825432</v>
      </c>
      <c r="E217" s="511">
        <f t="shared" si="23"/>
        <v>155458.54238095239</v>
      </c>
      <c r="F217" s="511">
        <f t="shared" si="16"/>
        <v>2163464.7148015909</v>
      </c>
      <c r="G217" s="469">
        <f t="shared" si="17"/>
        <v>2241193.985992067</v>
      </c>
      <c r="H217" s="506">
        <f>+J184*G217+E217</f>
        <v>491562.03841332009</v>
      </c>
      <c r="I217" s="512">
        <f>+J185*G217+E217</f>
        <v>491562.03841332009</v>
      </c>
      <c r="J217" s="509">
        <f t="shared" si="18"/>
        <v>0</v>
      </c>
      <c r="K217" s="509"/>
      <c r="L217" s="513"/>
      <c r="M217" s="509">
        <f t="shared" si="19"/>
        <v>0</v>
      </c>
      <c r="N217" s="513"/>
      <c r="O217" s="509">
        <f t="shared" si="20"/>
        <v>0</v>
      </c>
      <c r="P217" s="509">
        <f t="shared" si="21"/>
        <v>0</v>
      </c>
      <c r="Q217" s="471"/>
    </row>
    <row r="218" spans="3:17">
      <c r="C218" s="505">
        <f>IF(D183="","-",+C217+1)</f>
        <v>2041</v>
      </c>
      <c r="D218" s="469">
        <f t="shared" si="22"/>
        <v>2163464.7148015909</v>
      </c>
      <c r="E218" s="511">
        <f t="shared" si="23"/>
        <v>155458.54238095239</v>
      </c>
      <c r="F218" s="511">
        <f t="shared" si="16"/>
        <v>2008006.1724206386</v>
      </c>
      <c r="G218" s="469">
        <f t="shared" si="17"/>
        <v>2085735.4436111148</v>
      </c>
      <c r="H218" s="506">
        <f>+J184*G218+E218</f>
        <v>468248.5011162773</v>
      </c>
      <c r="I218" s="512">
        <f>+J185*G218+E218</f>
        <v>468248.5011162773</v>
      </c>
      <c r="J218" s="509">
        <f t="shared" si="18"/>
        <v>0</v>
      </c>
      <c r="K218" s="509"/>
      <c r="L218" s="513"/>
      <c r="M218" s="509">
        <f t="shared" si="19"/>
        <v>0</v>
      </c>
      <c r="N218" s="513"/>
      <c r="O218" s="509">
        <f t="shared" si="20"/>
        <v>0</v>
      </c>
      <c r="P218" s="509">
        <f t="shared" si="21"/>
        <v>0</v>
      </c>
      <c r="Q218" s="471"/>
    </row>
    <row r="219" spans="3:17">
      <c r="C219" s="505">
        <f>IF(D183="","-",+C218+1)</f>
        <v>2042</v>
      </c>
      <c r="D219" s="469">
        <f t="shared" si="22"/>
        <v>2008006.1724206386</v>
      </c>
      <c r="E219" s="511">
        <f t="shared" si="23"/>
        <v>155458.54238095239</v>
      </c>
      <c r="F219" s="511">
        <f t="shared" si="16"/>
        <v>1852547.6300396863</v>
      </c>
      <c r="G219" s="469">
        <f t="shared" si="17"/>
        <v>1930276.9012301625</v>
      </c>
      <c r="H219" s="506">
        <f>+J184*G219+E219</f>
        <v>444934.96381923452</v>
      </c>
      <c r="I219" s="512">
        <f>+J185*G219+E219</f>
        <v>444934.96381923452</v>
      </c>
      <c r="J219" s="509">
        <f t="shared" si="18"/>
        <v>0</v>
      </c>
      <c r="K219" s="509"/>
      <c r="L219" s="513"/>
      <c r="M219" s="509">
        <f t="shared" si="19"/>
        <v>0</v>
      </c>
      <c r="N219" s="513"/>
      <c r="O219" s="509">
        <f t="shared" si="20"/>
        <v>0</v>
      </c>
      <c r="P219" s="509">
        <f t="shared" si="21"/>
        <v>0</v>
      </c>
      <c r="Q219" s="471"/>
    </row>
    <row r="220" spans="3:17">
      <c r="C220" s="505">
        <f>IF(D183="","-",+C219+1)</f>
        <v>2043</v>
      </c>
      <c r="D220" s="469">
        <f t="shared" si="22"/>
        <v>1852547.6300396863</v>
      </c>
      <c r="E220" s="511">
        <f t="shared" si="23"/>
        <v>155458.54238095239</v>
      </c>
      <c r="F220" s="511">
        <f t="shared" si="16"/>
        <v>1697089.0876587341</v>
      </c>
      <c r="G220" s="469">
        <f t="shared" si="17"/>
        <v>1774818.3588492102</v>
      </c>
      <c r="H220" s="506">
        <f>+J184*G220+E220</f>
        <v>421621.42652219167</v>
      </c>
      <c r="I220" s="512">
        <f>+J185*G220+E220</f>
        <v>421621.42652219167</v>
      </c>
      <c r="J220" s="509">
        <f t="shared" si="18"/>
        <v>0</v>
      </c>
      <c r="K220" s="509"/>
      <c r="L220" s="513"/>
      <c r="M220" s="509">
        <f t="shared" si="19"/>
        <v>0</v>
      </c>
      <c r="N220" s="513"/>
      <c r="O220" s="509">
        <f t="shared" si="20"/>
        <v>0</v>
      </c>
      <c r="P220" s="509">
        <f t="shared" si="21"/>
        <v>0</v>
      </c>
      <c r="Q220" s="471"/>
    </row>
    <row r="221" spans="3:17">
      <c r="C221" s="505">
        <f>IF(D183="","-",+C220+1)</f>
        <v>2044</v>
      </c>
      <c r="D221" s="469">
        <f t="shared" si="22"/>
        <v>1697089.0876587341</v>
      </c>
      <c r="E221" s="511">
        <f t="shared" si="23"/>
        <v>155458.54238095239</v>
      </c>
      <c r="F221" s="511">
        <f t="shared" si="16"/>
        <v>1541630.5452777818</v>
      </c>
      <c r="G221" s="469">
        <f t="shared" si="17"/>
        <v>1619359.8164682579</v>
      </c>
      <c r="H221" s="506">
        <f>+J184*G221+E221</f>
        <v>398307.88922514895</v>
      </c>
      <c r="I221" s="512">
        <f>+J185*G221+E221</f>
        <v>398307.88922514895</v>
      </c>
      <c r="J221" s="509">
        <f t="shared" si="18"/>
        <v>0</v>
      </c>
      <c r="K221" s="509"/>
      <c r="L221" s="513"/>
      <c r="M221" s="509">
        <f t="shared" si="19"/>
        <v>0</v>
      </c>
      <c r="N221" s="513"/>
      <c r="O221" s="509">
        <f t="shared" si="20"/>
        <v>0</v>
      </c>
      <c r="P221" s="509">
        <f t="shared" si="21"/>
        <v>0</v>
      </c>
      <c r="Q221" s="471"/>
    </row>
    <row r="222" spans="3:17">
      <c r="C222" s="505">
        <f>IF(D183="","-",+C221+1)</f>
        <v>2045</v>
      </c>
      <c r="D222" s="469">
        <f t="shared" si="22"/>
        <v>1541630.5452777818</v>
      </c>
      <c r="E222" s="511">
        <f t="shared" si="23"/>
        <v>155458.54238095239</v>
      </c>
      <c r="F222" s="511">
        <f t="shared" si="16"/>
        <v>1386172.0028968295</v>
      </c>
      <c r="G222" s="469">
        <f t="shared" si="17"/>
        <v>1463901.2740873056</v>
      </c>
      <c r="H222" s="506">
        <f>+J184*G222+E222</f>
        <v>374994.3519281061</v>
      </c>
      <c r="I222" s="512">
        <f>+J185*G222+E222</f>
        <v>374994.3519281061</v>
      </c>
      <c r="J222" s="509">
        <f t="shared" si="18"/>
        <v>0</v>
      </c>
      <c r="K222" s="509"/>
      <c r="L222" s="513"/>
      <c r="M222" s="509">
        <f t="shared" si="19"/>
        <v>0</v>
      </c>
      <c r="N222" s="513"/>
      <c r="O222" s="509">
        <f t="shared" si="20"/>
        <v>0</v>
      </c>
      <c r="P222" s="509">
        <f t="shared" si="21"/>
        <v>0</v>
      </c>
      <c r="Q222" s="471"/>
    </row>
    <row r="223" spans="3:17">
      <c r="C223" s="505">
        <f>IF(D183="","-",+C222+1)</f>
        <v>2046</v>
      </c>
      <c r="D223" s="469">
        <f t="shared" si="22"/>
        <v>1386172.0028968295</v>
      </c>
      <c r="E223" s="511">
        <f t="shared" si="23"/>
        <v>155458.54238095239</v>
      </c>
      <c r="F223" s="511">
        <f t="shared" si="16"/>
        <v>1230713.4605158772</v>
      </c>
      <c r="G223" s="469">
        <f t="shared" si="17"/>
        <v>1308442.7317063534</v>
      </c>
      <c r="H223" s="506">
        <f>+J184*G223+E223</f>
        <v>351680.81463106332</v>
      </c>
      <c r="I223" s="512">
        <f>+J185*G223+E223</f>
        <v>351680.81463106332</v>
      </c>
      <c r="J223" s="509">
        <f t="shared" si="18"/>
        <v>0</v>
      </c>
      <c r="K223" s="509"/>
      <c r="L223" s="513"/>
      <c r="M223" s="509">
        <f t="shared" si="19"/>
        <v>0</v>
      </c>
      <c r="N223" s="513"/>
      <c r="O223" s="509">
        <f t="shared" si="20"/>
        <v>0</v>
      </c>
      <c r="P223" s="509">
        <f t="shared" si="21"/>
        <v>0</v>
      </c>
      <c r="Q223" s="471"/>
    </row>
    <row r="224" spans="3:17">
      <c r="C224" s="505">
        <f>IF(D183="","-",+C223+1)</f>
        <v>2047</v>
      </c>
      <c r="D224" s="469">
        <f t="shared" si="22"/>
        <v>1230713.4605158772</v>
      </c>
      <c r="E224" s="511">
        <f t="shared" si="23"/>
        <v>155458.54238095239</v>
      </c>
      <c r="F224" s="511">
        <f t="shared" si="16"/>
        <v>1075254.918134925</v>
      </c>
      <c r="G224" s="469">
        <f t="shared" si="17"/>
        <v>1152984.1893254011</v>
      </c>
      <c r="H224" s="506">
        <f>+J184*G224+E224</f>
        <v>328367.27733402053</v>
      </c>
      <c r="I224" s="512">
        <f>+J185*G224+E224</f>
        <v>328367.27733402053</v>
      </c>
      <c r="J224" s="509">
        <f t="shared" si="18"/>
        <v>0</v>
      </c>
      <c r="K224" s="509"/>
      <c r="L224" s="513"/>
      <c r="M224" s="509">
        <f t="shared" si="19"/>
        <v>0</v>
      </c>
      <c r="N224" s="513"/>
      <c r="O224" s="509">
        <f t="shared" si="20"/>
        <v>0</v>
      </c>
      <c r="P224" s="509">
        <f t="shared" si="21"/>
        <v>0</v>
      </c>
      <c r="Q224" s="471"/>
    </row>
    <row r="225" spans="3:17">
      <c r="C225" s="505">
        <f>IF(D183="","-",+C224+1)</f>
        <v>2048</v>
      </c>
      <c r="D225" s="469">
        <f t="shared" si="22"/>
        <v>1075254.918134925</v>
      </c>
      <c r="E225" s="511">
        <f t="shared" si="23"/>
        <v>155458.54238095239</v>
      </c>
      <c r="F225" s="511">
        <f t="shared" si="16"/>
        <v>919796.37575397256</v>
      </c>
      <c r="G225" s="469">
        <f t="shared" si="17"/>
        <v>997525.64694444882</v>
      </c>
      <c r="H225" s="506">
        <f>+J184*G225+E225</f>
        <v>305053.74003697775</v>
      </c>
      <c r="I225" s="512">
        <f>+J185*G225+E225</f>
        <v>305053.74003697775</v>
      </c>
      <c r="J225" s="509">
        <f t="shared" si="18"/>
        <v>0</v>
      </c>
      <c r="K225" s="509"/>
      <c r="L225" s="513"/>
      <c r="M225" s="509">
        <f t="shared" si="19"/>
        <v>0</v>
      </c>
      <c r="N225" s="513"/>
      <c r="O225" s="509">
        <f t="shared" si="20"/>
        <v>0</v>
      </c>
      <c r="P225" s="509">
        <f t="shared" si="21"/>
        <v>0</v>
      </c>
      <c r="Q225" s="471"/>
    </row>
    <row r="226" spans="3:17">
      <c r="C226" s="505">
        <f>IF(D183="","-",+C225+1)</f>
        <v>2049</v>
      </c>
      <c r="D226" s="469">
        <f t="shared" si="22"/>
        <v>919796.37575397256</v>
      </c>
      <c r="E226" s="511">
        <f t="shared" si="23"/>
        <v>155458.54238095239</v>
      </c>
      <c r="F226" s="511">
        <f t="shared" si="16"/>
        <v>764337.83337302017</v>
      </c>
      <c r="G226" s="469">
        <f t="shared" si="17"/>
        <v>842067.10456349631</v>
      </c>
      <c r="H226" s="506">
        <f>+J184*G226+E226</f>
        <v>281740.2027399349</v>
      </c>
      <c r="I226" s="512">
        <f>+J185*G226+E226</f>
        <v>281740.2027399349</v>
      </c>
      <c r="J226" s="509">
        <f t="shared" si="18"/>
        <v>0</v>
      </c>
      <c r="K226" s="509"/>
      <c r="L226" s="513"/>
      <c r="M226" s="509">
        <f t="shared" si="19"/>
        <v>0</v>
      </c>
      <c r="N226" s="513"/>
      <c r="O226" s="509">
        <f t="shared" si="20"/>
        <v>0</v>
      </c>
      <c r="P226" s="509">
        <f t="shared" si="21"/>
        <v>0</v>
      </c>
      <c r="Q226" s="471"/>
    </row>
    <row r="227" spans="3:17">
      <c r="C227" s="505">
        <f>IF(D183="","-",+C226+1)</f>
        <v>2050</v>
      </c>
      <c r="D227" s="469">
        <f t="shared" si="22"/>
        <v>764337.83337302017</v>
      </c>
      <c r="E227" s="511">
        <f t="shared" si="23"/>
        <v>155458.54238095239</v>
      </c>
      <c r="F227" s="511">
        <f t="shared" si="16"/>
        <v>608879.29099206778</v>
      </c>
      <c r="G227" s="469">
        <f t="shared" si="17"/>
        <v>686608.56218254403</v>
      </c>
      <c r="H227" s="506">
        <f>+J184*G227+E227</f>
        <v>258426.66544289212</v>
      </c>
      <c r="I227" s="512">
        <f>+J185*G227+E227</f>
        <v>258426.66544289212</v>
      </c>
      <c r="J227" s="509">
        <f t="shared" si="18"/>
        <v>0</v>
      </c>
      <c r="K227" s="509"/>
      <c r="L227" s="513"/>
      <c r="M227" s="509">
        <f t="shared" si="19"/>
        <v>0</v>
      </c>
      <c r="N227" s="513"/>
      <c r="O227" s="509">
        <f t="shared" si="20"/>
        <v>0</v>
      </c>
      <c r="P227" s="509">
        <f t="shared" si="21"/>
        <v>0</v>
      </c>
      <c r="Q227" s="471"/>
    </row>
    <row r="228" spans="3:17">
      <c r="C228" s="505">
        <f>IF(D183="","-",+C227+1)</f>
        <v>2051</v>
      </c>
      <c r="D228" s="469">
        <f t="shared" si="22"/>
        <v>608879.29099206778</v>
      </c>
      <c r="E228" s="511">
        <f t="shared" si="23"/>
        <v>155458.54238095239</v>
      </c>
      <c r="F228" s="511">
        <f t="shared" si="16"/>
        <v>453420.74861111538</v>
      </c>
      <c r="G228" s="469">
        <f t="shared" si="17"/>
        <v>531150.01980159152</v>
      </c>
      <c r="H228" s="506">
        <f>+J184*G228+E228</f>
        <v>235113.12814584927</v>
      </c>
      <c r="I228" s="512">
        <f>+J185*G228+E228</f>
        <v>235113.12814584927</v>
      </c>
      <c r="J228" s="509">
        <f t="shared" si="18"/>
        <v>0</v>
      </c>
      <c r="K228" s="509"/>
      <c r="L228" s="513"/>
      <c r="M228" s="509">
        <f t="shared" si="19"/>
        <v>0</v>
      </c>
      <c r="N228" s="513"/>
      <c r="O228" s="509">
        <f t="shared" si="20"/>
        <v>0</v>
      </c>
      <c r="P228" s="509">
        <f t="shared" si="21"/>
        <v>0</v>
      </c>
      <c r="Q228" s="471"/>
    </row>
    <row r="229" spans="3:17">
      <c r="C229" s="505">
        <f>IF(D183="","-",+C228+1)</f>
        <v>2052</v>
      </c>
      <c r="D229" s="469">
        <f t="shared" si="22"/>
        <v>453420.74861111538</v>
      </c>
      <c r="E229" s="511">
        <f t="shared" si="23"/>
        <v>155458.54238095239</v>
      </c>
      <c r="F229" s="511">
        <f t="shared" si="16"/>
        <v>297962.20623016299</v>
      </c>
      <c r="G229" s="469">
        <f t="shared" si="17"/>
        <v>375691.47742063919</v>
      </c>
      <c r="H229" s="506">
        <f>+J184*G229+E229</f>
        <v>211799.59084880649</v>
      </c>
      <c r="I229" s="512">
        <f>+J185*G229+E229</f>
        <v>211799.59084880649</v>
      </c>
      <c r="J229" s="509">
        <f t="shared" si="18"/>
        <v>0</v>
      </c>
      <c r="K229" s="509"/>
      <c r="L229" s="513"/>
      <c r="M229" s="509">
        <f t="shared" si="19"/>
        <v>0</v>
      </c>
      <c r="N229" s="513"/>
      <c r="O229" s="509">
        <f t="shared" si="20"/>
        <v>0</v>
      </c>
      <c r="P229" s="509">
        <f t="shared" si="21"/>
        <v>0</v>
      </c>
      <c r="Q229" s="471"/>
    </row>
    <row r="230" spans="3:17">
      <c r="C230" s="505">
        <f>IF(D183="","-",+C229+1)</f>
        <v>2053</v>
      </c>
      <c r="D230" s="469">
        <f t="shared" si="22"/>
        <v>297962.20623016299</v>
      </c>
      <c r="E230" s="511">
        <f t="shared" si="23"/>
        <v>155458.54238095239</v>
      </c>
      <c r="F230" s="511">
        <f t="shared" si="16"/>
        <v>142503.6638492106</v>
      </c>
      <c r="G230" s="469">
        <f t="shared" si="17"/>
        <v>220232.9350396868</v>
      </c>
      <c r="H230" s="506">
        <f>+J184*G230+E230</f>
        <v>188486.05355176367</v>
      </c>
      <c r="I230" s="512">
        <f>+J185*G230+E230</f>
        <v>188486.05355176367</v>
      </c>
      <c r="J230" s="509">
        <f t="shared" si="18"/>
        <v>0</v>
      </c>
      <c r="K230" s="509"/>
      <c r="L230" s="513"/>
      <c r="M230" s="509">
        <f t="shared" si="19"/>
        <v>0</v>
      </c>
      <c r="N230" s="513"/>
      <c r="O230" s="509">
        <f t="shared" si="20"/>
        <v>0</v>
      </c>
      <c r="P230" s="509">
        <f t="shared" si="21"/>
        <v>0</v>
      </c>
      <c r="Q230" s="471"/>
    </row>
    <row r="231" spans="3:17">
      <c r="C231" s="505">
        <f>IF(D183="","-",+C230+1)</f>
        <v>2054</v>
      </c>
      <c r="D231" s="469">
        <f t="shared" si="22"/>
        <v>142503.6638492106</v>
      </c>
      <c r="E231" s="511">
        <f t="shared" si="23"/>
        <v>142503.6638492106</v>
      </c>
      <c r="F231" s="511">
        <f t="shared" si="16"/>
        <v>0</v>
      </c>
      <c r="G231" s="469">
        <f t="shared" si="17"/>
        <v>71251.8319246053</v>
      </c>
      <c r="H231" s="506">
        <f>+J184*G231+E231</f>
        <v>153189.03511035553</v>
      </c>
      <c r="I231" s="512">
        <f>+J185*G231+E231</f>
        <v>153189.03511035553</v>
      </c>
      <c r="J231" s="509">
        <f t="shared" si="18"/>
        <v>0</v>
      </c>
      <c r="K231" s="509"/>
      <c r="L231" s="513"/>
      <c r="M231" s="509">
        <f t="shared" si="19"/>
        <v>0</v>
      </c>
      <c r="N231" s="513"/>
      <c r="O231" s="509">
        <f t="shared" si="20"/>
        <v>0</v>
      </c>
      <c r="P231" s="509">
        <f t="shared" si="21"/>
        <v>0</v>
      </c>
      <c r="Q231" s="471"/>
    </row>
    <row r="232" spans="3:17">
      <c r="C232" s="505">
        <f>IF(D183="","-",+C231+1)</f>
        <v>2055</v>
      </c>
      <c r="D232" s="469">
        <f t="shared" si="22"/>
        <v>0</v>
      </c>
      <c r="E232" s="511">
        <f t="shared" si="23"/>
        <v>0</v>
      </c>
      <c r="F232" s="511">
        <f t="shared" si="16"/>
        <v>0</v>
      </c>
      <c r="G232" s="469">
        <f t="shared" si="17"/>
        <v>0</v>
      </c>
      <c r="H232" s="506">
        <f>+J184*G232+E232</f>
        <v>0</v>
      </c>
      <c r="I232" s="512">
        <f>+J185*G232+E232</f>
        <v>0</v>
      </c>
      <c r="J232" s="509">
        <f t="shared" si="18"/>
        <v>0</v>
      </c>
      <c r="K232" s="509"/>
      <c r="L232" s="513"/>
      <c r="M232" s="509">
        <f t="shared" si="19"/>
        <v>0</v>
      </c>
      <c r="N232" s="513"/>
      <c r="O232" s="509">
        <f t="shared" si="20"/>
        <v>0</v>
      </c>
      <c r="P232" s="509">
        <f t="shared" si="21"/>
        <v>0</v>
      </c>
      <c r="Q232" s="471"/>
    </row>
    <row r="233" spans="3:17">
      <c r="C233" s="505">
        <f>IF(D183="","-",+C232+1)</f>
        <v>2056</v>
      </c>
      <c r="D233" s="469">
        <f t="shared" si="22"/>
        <v>0</v>
      </c>
      <c r="E233" s="511">
        <f t="shared" si="23"/>
        <v>0</v>
      </c>
      <c r="F233" s="511">
        <f t="shared" si="16"/>
        <v>0</v>
      </c>
      <c r="G233" s="469">
        <f t="shared" si="17"/>
        <v>0</v>
      </c>
      <c r="H233" s="506">
        <f>+J184*G233+E233</f>
        <v>0</v>
      </c>
      <c r="I233" s="512">
        <f>+J185*G233+E233</f>
        <v>0</v>
      </c>
      <c r="J233" s="509">
        <f t="shared" si="18"/>
        <v>0</v>
      </c>
      <c r="K233" s="509"/>
      <c r="L233" s="513"/>
      <c r="M233" s="509">
        <f t="shared" si="19"/>
        <v>0</v>
      </c>
      <c r="N233" s="513"/>
      <c r="O233" s="509">
        <f t="shared" si="20"/>
        <v>0</v>
      </c>
      <c r="P233" s="509">
        <f t="shared" si="21"/>
        <v>0</v>
      </c>
      <c r="Q233" s="471"/>
    </row>
    <row r="234" spans="3:17">
      <c r="C234" s="505">
        <f>IF(D183="","-",+C233+1)</f>
        <v>2057</v>
      </c>
      <c r="D234" s="469">
        <f t="shared" si="22"/>
        <v>0</v>
      </c>
      <c r="E234" s="511">
        <f t="shared" si="23"/>
        <v>0</v>
      </c>
      <c r="F234" s="511">
        <f t="shared" si="16"/>
        <v>0</v>
      </c>
      <c r="G234" s="469">
        <f t="shared" si="17"/>
        <v>0</v>
      </c>
      <c r="H234" s="506">
        <f>+J184*G234+E234</f>
        <v>0</v>
      </c>
      <c r="I234" s="512">
        <f>+J185*G234+E234</f>
        <v>0</v>
      </c>
      <c r="J234" s="509">
        <f t="shared" si="18"/>
        <v>0</v>
      </c>
      <c r="K234" s="509"/>
      <c r="L234" s="513"/>
      <c r="M234" s="509">
        <f t="shared" si="19"/>
        <v>0</v>
      </c>
      <c r="N234" s="513"/>
      <c r="O234" s="509">
        <f t="shared" si="20"/>
        <v>0</v>
      </c>
      <c r="P234" s="509">
        <f t="shared" si="21"/>
        <v>0</v>
      </c>
      <c r="Q234" s="471"/>
    </row>
    <row r="235" spans="3:17">
      <c r="C235" s="505">
        <f>IF(D183="","-",+C234+1)</f>
        <v>2058</v>
      </c>
      <c r="D235" s="469">
        <f t="shared" si="22"/>
        <v>0</v>
      </c>
      <c r="E235" s="511">
        <f t="shared" si="23"/>
        <v>0</v>
      </c>
      <c r="F235" s="511">
        <f t="shared" si="16"/>
        <v>0</v>
      </c>
      <c r="G235" s="469">
        <f t="shared" si="17"/>
        <v>0</v>
      </c>
      <c r="H235" s="506">
        <f>+J184*G235+E235</f>
        <v>0</v>
      </c>
      <c r="I235" s="512">
        <f>+J185*G235+E235</f>
        <v>0</v>
      </c>
      <c r="J235" s="509">
        <f t="shared" si="18"/>
        <v>0</v>
      </c>
      <c r="K235" s="509"/>
      <c r="L235" s="513"/>
      <c r="M235" s="509">
        <f t="shared" si="19"/>
        <v>0</v>
      </c>
      <c r="N235" s="513"/>
      <c r="O235" s="509">
        <f t="shared" si="20"/>
        <v>0</v>
      </c>
      <c r="P235" s="509">
        <f t="shared" si="21"/>
        <v>0</v>
      </c>
      <c r="Q235" s="471"/>
    </row>
    <row r="236" spans="3:17">
      <c r="C236" s="505">
        <f>IF(D183="","-",+C235+1)</f>
        <v>2059</v>
      </c>
      <c r="D236" s="469">
        <f t="shared" si="22"/>
        <v>0</v>
      </c>
      <c r="E236" s="511">
        <f t="shared" si="23"/>
        <v>0</v>
      </c>
      <c r="F236" s="511">
        <f t="shared" si="16"/>
        <v>0</v>
      </c>
      <c r="G236" s="469">
        <f t="shared" si="17"/>
        <v>0</v>
      </c>
      <c r="H236" s="506">
        <f>+J184*G236+E236</f>
        <v>0</v>
      </c>
      <c r="I236" s="512">
        <f>+J185*G236+E236</f>
        <v>0</v>
      </c>
      <c r="J236" s="509">
        <f t="shared" si="18"/>
        <v>0</v>
      </c>
      <c r="K236" s="509"/>
      <c r="L236" s="513"/>
      <c r="M236" s="509">
        <f t="shared" si="19"/>
        <v>0</v>
      </c>
      <c r="N236" s="513"/>
      <c r="O236" s="509">
        <f t="shared" si="20"/>
        <v>0</v>
      </c>
      <c r="P236" s="509">
        <f t="shared" si="21"/>
        <v>0</v>
      </c>
      <c r="Q236" s="471"/>
    </row>
    <row r="237" spans="3:17">
      <c r="C237" s="505">
        <f>IF(D183="","-",+C236+1)</f>
        <v>2060</v>
      </c>
      <c r="D237" s="469">
        <f t="shared" si="22"/>
        <v>0</v>
      </c>
      <c r="E237" s="511">
        <f t="shared" si="23"/>
        <v>0</v>
      </c>
      <c r="F237" s="511">
        <f t="shared" si="16"/>
        <v>0</v>
      </c>
      <c r="G237" s="469">
        <f t="shared" si="17"/>
        <v>0</v>
      </c>
      <c r="H237" s="506">
        <f>+J184*G237+E237</f>
        <v>0</v>
      </c>
      <c r="I237" s="512">
        <f>+J185*G237+E237</f>
        <v>0</v>
      </c>
      <c r="J237" s="509">
        <f t="shared" si="18"/>
        <v>0</v>
      </c>
      <c r="K237" s="509"/>
      <c r="L237" s="513"/>
      <c r="M237" s="509">
        <f t="shared" si="19"/>
        <v>0</v>
      </c>
      <c r="N237" s="513"/>
      <c r="O237" s="509">
        <f t="shared" si="20"/>
        <v>0</v>
      </c>
      <c r="P237" s="509">
        <f t="shared" si="21"/>
        <v>0</v>
      </c>
      <c r="Q237" s="471"/>
    </row>
    <row r="238" spans="3:17">
      <c r="C238" s="505">
        <f>IF(D183="","-",+C237+1)</f>
        <v>2061</v>
      </c>
      <c r="D238" s="469">
        <f t="shared" si="22"/>
        <v>0</v>
      </c>
      <c r="E238" s="511">
        <f t="shared" si="23"/>
        <v>0</v>
      </c>
      <c r="F238" s="511">
        <f t="shared" si="16"/>
        <v>0</v>
      </c>
      <c r="G238" s="469">
        <f t="shared" si="17"/>
        <v>0</v>
      </c>
      <c r="H238" s="506">
        <f>+J184*G238+E238</f>
        <v>0</v>
      </c>
      <c r="I238" s="512">
        <f>+J185*G238+E238</f>
        <v>0</v>
      </c>
      <c r="J238" s="509">
        <f t="shared" si="18"/>
        <v>0</v>
      </c>
      <c r="K238" s="509"/>
      <c r="L238" s="513"/>
      <c r="M238" s="509">
        <f t="shared" si="19"/>
        <v>0</v>
      </c>
      <c r="N238" s="513"/>
      <c r="O238" s="509">
        <f t="shared" si="20"/>
        <v>0</v>
      </c>
      <c r="P238" s="509">
        <f t="shared" si="21"/>
        <v>0</v>
      </c>
      <c r="Q238" s="471"/>
    </row>
    <row r="239" spans="3:17">
      <c r="C239" s="505">
        <f>IF(D183="","-",+C238+1)</f>
        <v>2062</v>
      </c>
      <c r="D239" s="469">
        <f t="shared" si="22"/>
        <v>0</v>
      </c>
      <c r="E239" s="511">
        <f t="shared" si="23"/>
        <v>0</v>
      </c>
      <c r="F239" s="511">
        <f t="shared" si="16"/>
        <v>0</v>
      </c>
      <c r="G239" s="469">
        <f t="shared" si="17"/>
        <v>0</v>
      </c>
      <c r="H239" s="506">
        <f>+J184*G239+E239</f>
        <v>0</v>
      </c>
      <c r="I239" s="512">
        <f>+J185*G239+E239</f>
        <v>0</v>
      </c>
      <c r="J239" s="509">
        <f t="shared" si="18"/>
        <v>0</v>
      </c>
      <c r="K239" s="509"/>
      <c r="L239" s="513"/>
      <c r="M239" s="509">
        <f t="shared" si="19"/>
        <v>0</v>
      </c>
      <c r="N239" s="513"/>
      <c r="O239" s="509">
        <f t="shared" si="20"/>
        <v>0</v>
      </c>
      <c r="P239" s="509">
        <f t="shared" si="21"/>
        <v>0</v>
      </c>
      <c r="Q239" s="471"/>
    </row>
    <row r="240" spans="3:17">
      <c r="C240" s="505">
        <f>IF(D183="","-",+C239+1)</f>
        <v>2063</v>
      </c>
      <c r="D240" s="469">
        <f t="shared" si="22"/>
        <v>0</v>
      </c>
      <c r="E240" s="511">
        <f t="shared" si="23"/>
        <v>0</v>
      </c>
      <c r="F240" s="511">
        <f t="shared" si="16"/>
        <v>0</v>
      </c>
      <c r="G240" s="469">
        <f t="shared" si="17"/>
        <v>0</v>
      </c>
      <c r="H240" s="506">
        <f>+J184*G240+E240</f>
        <v>0</v>
      </c>
      <c r="I240" s="512">
        <f>+J185*G240+E240</f>
        <v>0</v>
      </c>
      <c r="J240" s="509">
        <f t="shared" si="18"/>
        <v>0</v>
      </c>
      <c r="K240" s="509"/>
      <c r="L240" s="513"/>
      <c r="M240" s="509">
        <f t="shared" si="19"/>
        <v>0</v>
      </c>
      <c r="N240" s="513"/>
      <c r="O240" s="509">
        <f t="shared" si="20"/>
        <v>0</v>
      </c>
      <c r="P240" s="509">
        <f t="shared" si="21"/>
        <v>0</v>
      </c>
      <c r="Q240" s="471"/>
    </row>
    <row r="241" spans="1:17">
      <c r="C241" s="505">
        <f>IF(D183="","-",+C240+1)</f>
        <v>2064</v>
      </c>
      <c r="D241" s="469">
        <f t="shared" si="22"/>
        <v>0</v>
      </c>
      <c r="E241" s="511">
        <f t="shared" si="23"/>
        <v>0</v>
      </c>
      <c r="F241" s="511">
        <f t="shared" si="16"/>
        <v>0</v>
      </c>
      <c r="G241" s="469">
        <f t="shared" si="17"/>
        <v>0</v>
      </c>
      <c r="H241" s="506">
        <f>+J184*G241+E241</f>
        <v>0</v>
      </c>
      <c r="I241" s="512">
        <f>+J185*G241+E241</f>
        <v>0</v>
      </c>
      <c r="J241" s="509">
        <f t="shared" si="18"/>
        <v>0</v>
      </c>
      <c r="K241" s="509"/>
      <c r="L241" s="513"/>
      <c r="M241" s="509">
        <f t="shared" si="19"/>
        <v>0</v>
      </c>
      <c r="N241" s="513"/>
      <c r="O241" s="509">
        <f t="shared" si="20"/>
        <v>0</v>
      </c>
      <c r="P241" s="509">
        <f t="shared" si="21"/>
        <v>0</v>
      </c>
      <c r="Q241" s="471"/>
    </row>
    <row r="242" spans="1:17">
      <c r="C242" s="505">
        <f>IF(D183="","-",+C241+1)</f>
        <v>2065</v>
      </c>
      <c r="D242" s="469">
        <f t="shared" si="22"/>
        <v>0</v>
      </c>
      <c r="E242" s="511">
        <f t="shared" si="23"/>
        <v>0</v>
      </c>
      <c r="F242" s="511">
        <f t="shared" si="16"/>
        <v>0</v>
      </c>
      <c r="G242" s="469">
        <f t="shared" si="17"/>
        <v>0</v>
      </c>
      <c r="H242" s="506">
        <f>+J184*G242+E242</f>
        <v>0</v>
      </c>
      <c r="I242" s="512">
        <f>+J185*G242+E242</f>
        <v>0</v>
      </c>
      <c r="J242" s="509">
        <f t="shared" si="18"/>
        <v>0</v>
      </c>
      <c r="K242" s="509"/>
      <c r="L242" s="513"/>
      <c r="M242" s="509">
        <f t="shared" si="19"/>
        <v>0</v>
      </c>
      <c r="N242" s="513"/>
      <c r="O242" s="509">
        <f t="shared" si="20"/>
        <v>0</v>
      </c>
      <c r="P242" s="509">
        <f t="shared" si="21"/>
        <v>0</v>
      </c>
      <c r="Q242" s="471"/>
    </row>
    <row r="243" spans="1:17">
      <c r="C243" s="505">
        <f>IF(D183="","-",+C242+1)</f>
        <v>2066</v>
      </c>
      <c r="D243" s="469">
        <f t="shared" si="22"/>
        <v>0</v>
      </c>
      <c r="E243" s="511">
        <f t="shared" si="23"/>
        <v>0</v>
      </c>
      <c r="F243" s="511">
        <f t="shared" si="16"/>
        <v>0</v>
      </c>
      <c r="G243" s="469">
        <f t="shared" si="17"/>
        <v>0</v>
      </c>
      <c r="H243" s="506">
        <f>+J184*G243+E243</f>
        <v>0</v>
      </c>
      <c r="I243" s="512">
        <f>+J185*G243+E243</f>
        <v>0</v>
      </c>
      <c r="J243" s="509">
        <f t="shared" si="18"/>
        <v>0</v>
      </c>
      <c r="K243" s="509"/>
      <c r="L243" s="513"/>
      <c r="M243" s="509">
        <f t="shared" si="19"/>
        <v>0</v>
      </c>
      <c r="N243" s="513"/>
      <c r="O243" s="509">
        <f t="shared" si="20"/>
        <v>0</v>
      </c>
      <c r="P243" s="509">
        <f t="shared" si="21"/>
        <v>0</v>
      </c>
      <c r="Q243" s="471"/>
    </row>
    <row r="244" spans="1:17">
      <c r="C244" s="505">
        <f>IF(D183="","-",+C243+1)</f>
        <v>2067</v>
      </c>
      <c r="D244" s="469">
        <f t="shared" si="22"/>
        <v>0</v>
      </c>
      <c r="E244" s="511">
        <f t="shared" si="23"/>
        <v>0</v>
      </c>
      <c r="F244" s="511">
        <f t="shared" si="16"/>
        <v>0</v>
      </c>
      <c r="G244" s="469">
        <f t="shared" si="17"/>
        <v>0</v>
      </c>
      <c r="H244" s="506">
        <f>+J184*G244+E244</f>
        <v>0</v>
      </c>
      <c r="I244" s="512">
        <f>+J185*G244+E244</f>
        <v>0</v>
      </c>
      <c r="J244" s="509">
        <f t="shared" si="18"/>
        <v>0</v>
      </c>
      <c r="K244" s="509"/>
      <c r="L244" s="513"/>
      <c r="M244" s="509">
        <f t="shared" si="19"/>
        <v>0</v>
      </c>
      <c r="N244" s="513"/>
      <c r="O244" s="509">
        <f t="shared" si="20"/>
        <v>0</v>
      </c>
      <c r="P244" s="509">
        <f t="shared" si="21"/>
        <v>0</v>
      </c>
      <c r="Q244" s="471"/>
    </row>
    <row r="245" spans="1:17">
      <c r="C245" s="505">
        <f>IF(D183="","-",+C244+1)</f>
        <v>2068</v>
      </c>
      <c r="D245" s="469">
        <f t="shared" si="22"/>
        <v>0</v>
      </c>
      <c r="E245" s="511">
        <f t="shared" si="23"/>
        <v>0</v>
      </c>
      <c r="F245" s="511">
        <f t="shared" si="16"/>
        <v>0</v>
      </c>
      <c r="G245" s="469">
        <f t="shared" si="17"/>
        <v>0</v>
      </c>
      <c r="H245" s="506">
        <f>+J184*G245+E245</f>
        <v>0</v>
      </c>
      <c r="I245" s="512">
        <f>+J185*G245+E245</f>
        <v>0</v>
      </c>
      <c r="J245" s="509">
        <f t="shared" si="18"/>
        <v>0</v>
      </c>
      <c r="K245" s="509"/>
      <c r="L245" s="513"/>
      <c r="M245" s="509">
        <f t="shared" si="19"/>
        <v>0</v>
      </c>
      <c r="N245" s="513"/>
      <c r="O245" s="509">
        <f t="shared" si="20"/>
        <v>0</v>
      </c>
      <c r="P245" s="509">
        <f t="shared" si="21"/>
        <v>0</v>
      </c>
      <c r="Q245" s="471"/>
    </row>
    <row r="246" spans="1:17">
      <c r="C246" s="505">
        <f>IF(D183="","-",+C245+1)</f>
        <v>2069</v>
      </c>
      <c r="D246" s="469">
        <f t="shared" si="22"/>
        <v>0</v>
      </c>
      <c r="E246" s="511">
        <f t="shared" si="23"/>
        <v>0</v>
      </c>
      <c r="F246" s="511">
        <f t="shared" si="16"/>
        <v>0</v>
      </c>
      <c r="G246" s="469">
        <f t="shared" si="17"/>
        <v>0</v>
      </c>
      <c r="H246" s="506">
        <f>+J184*G246+E246</f>
        <v>0</v>
      </c>
      <c r="I246" s="512">
        <f>+J185*G246+E246</f>
        <v>0</v>
      </c>
      <c r="J246" s="509">
        <f t="shared" si="18"/>
        <v>0</v>
      </c>
      <c r="K246" s="509"/>
      <c r="L246" s="513"/>
      <c r="M246" s="509">
        <f t="shared" si="19"/>
        <v>0</v>
      </c>
      <c r="N246" s="513"/>
      <c r="O246" s="509">
        <f t="shared" si="20"/>
        <v>0</v>
      </c>
      <c r="P246" s="509">
        <f t="shared" si="21"/>
        <v>0</v>
      </c>
      <c r="Q246" s="471"/>
    </row>
    <row r="247" spans="1:17">
      <c r="C247" s="505">
        <f>IF(D183="","-",+C246+1)</f>
        <v>2070</v>
      </c>
      <c r="D247" s="469">
        <f t="shared" si="22"/>
        <v>0</v>
      </c>
      <c r="E247" s="511">
        <f t="shared" si="23"/>
        <v>0</v>
      </c>
      <c r="F247" s="511">
        <f t="shared" si="16"/>
        <v>0</v>
      </c>
      <c r="G247" s="469">
        <f t="shared" si="17"/>
        <v>0</v>
      </c>
      <c r="H247" s="506">
        <f>+J184*G247+E247</f>
        <v>0</v>
      </c>
      <c r="I247" s="512">
        <f>+J185*G247+E247</f>
        <v>0</v>
      </c>
      <c r="J247" s="509">
        <f t="shared" si="18"/>
        <v>0</v>
      </c>
      <c r="K247" s="509"/>
      <c r="L247" s="513"/>
      <c r="M247" s="509">
        <f t="shared" si="19"/>
        <v>0</v>
      </c>
      <c r="N247" s="513"/>
      <c r="O247" s="509">
        <f t="shared" si="20"/>
        <v>0</v>
      </c>
      <c r="P247" s="509">
        <f t="shared" si="21"/>
        <v>0</v>
      </c>
      <c r="Q247" s="471"/>
    </row>
    <row r="248" spans="1:17" ht="13.5" thickBot="1">
      <c r="C248" s="515">
        <f>IF(D183="","-",+C247+1)</f>
        <v>2071</v>
      </c>
      <c r="D248" s="516">
        <f t="shared" si="22"/>
        <v>0</v>
      </c>
      <c r="E248" s="976">
        <f t="shared" si="23"/>
        <v>0</v>
      </c>
      <c r="F248" s="517">
        <f t="shared" si="16"/>
        <v>0</v>
      </c>
      <c r="G248" s="516">
        <f t="shared" si="17"/>
        <v>0</v>
      </c>
      <c r="H248" s="518">
        <f>+J184*G248+E248</f>
        <v>0</v>
      </c>
      <c r="I248" s="518">
        <f>+J185*G248+E248</f>
        <v>0</v>
      </c>
      <c r="J248" s="519">
        <f t="shared" si="18"/>
        <v>0</v>
      </c>
      <c r="K248" s="509"/>
      <c r="L248" s="520"/>
      <c r="M248" s="519">
        <f t="shared" si="19"/>
        <v>0</v>
      </c>
      <c r="N248" s="520"/>
      <c r="O248" s="519">
        <f t="shared" si="20"/>
        <v>0</v>
      </c>
      <c r="P248" s="519">
        <f t="shared" si="21"/>
        <v>0</v>
      </c>
      <c r="Q248" s="471"/>
    </row>
    <row r="249" spans="1:17">
      <c r="C249" s="469" t="s">
        <v>288</v>
      </c>
      <c r="D249" s="467"/>
      <c r="E249" s="467">
        <f>SUM(E189:E248)</f>
        <v>6529258.7800000012</v>
      </c>
      <c r="F249" s="467"/>
      <c r="G249" s="467"/>
      <c r="H249" s="467">
        <f>SUM(H189:H248)</f>
        <v>27989369.861927923</v>
      </c>
      <c r="I249" s="467">
        <f>SUM(I189:I248)</f>
        <v>27989369.861927923</v>
      </c>
      <c r="J249" s="467">
        <f>SUM(J189:J248)</f>
        <v>0</v>
      </c>
      <c r="K249" s="467"/>
      <c r="L249" s="467"/>
      <c r="M249" s="467"/>
      <c r="N249" s="467"/>
      <c r="O249" s="467"/>
      <c r="Q249" s="467"/>
    </row>
    <row r="250" spans="1:17">
      <c r="D250" s="79"/>
      <c r="E250" s="4"/>
      <c r="F250" s="4"/>
      <c r="G250" s="4"/>
      <c r="H250" s="4"/>
      <c r="I250" s="452"/>
      <c r="J250" s="452"/>
      <c r="K250" s="467"/>
      <c r="L250" s="452"/>
      <c r="M250" s="452"/>
      <c r="N250" s="452"/>
      <c r="O250" s="452"/>
      <c r="Q250" s="467"/>
    </row>
    <row r="251" spans="1:17">
      <c r="C251" s="4" t="s">
        <v>595</v>
      </c>
      <c r="D251" s="79"/>
      <c r="E251" s="4"/>
      <c r="F251" s="4"/>
      <c r="G251" s="4"/>
      <c r="H251" s="4"/>
      <c r="I251" s="452"/>
      <c r="J251" s="452"/>
      <c r="K251" s="467"/>
      <c r="L251" s="452"/>
      <c r="M251" s="452"/>
      <c r="N251" s="452"/>
      <c r="O251" s="452"/>
      <c r="Q251" s="467"/>
    </row>
    <row r="252" spans="1:17">
      <c r="D252" s="79"/>
      <c r="E252" s="4"/>
      <c r="F252" s="4"/>
      <c r="G252" s="4"/>
      <c r="H252" s="4"/>
      <c r="I252" s="452"/>
      <c r="J252" s="452"/>
      <c r="K252" s="467"/>
      <c r="L252" s="452"/>
      <c r="M252" s="452"/>
      <c r="N252" s="452"/>
      <c r="O252" s="452"/>
      <c r="Q252" s="467"/>
    </row>
    <row r="253" spans="1:17">
      <c r="C253" s="4" t="s">
        <v>596</v>
      </c>
      <c r="D253" s="469"/>
      <c r="E253" s="469"/>
      <c r="F253" s="469"/>
      <c r="G253" s="469"/>
      <c r="H253" s="467"/>
      <c r="I253" s="467"/>
      <c r="J253" s="471"/>
      <c r="K253" s="471"/>
      <c r="L253" s="471"/>
      <c r="M253" s="471"/>
      <c r="N253" s="471"/>
      <c r="O253" s="471"/>
      <c r="Q253" s="471"/>
    </row>
    <row r="254" spans="1:17">
      <c r="C254" s="4" t="s">
        <v>476</v>
      </c>
      <c r="D254" s="469"/>
      <c r="E254" s="469"/>
      <c r="F254" s="469"/>
      <c r="G254" s="469"/>
      <c r="H254" s="467"/>
      <c r="I254" s="467"/>
      <c r="J254" s="471"/>
      <c r="K254" s="471"/>
      <c r="L254" s="471"/>
      <c r="M254" s="471"/>
      <c r="N254" s="471"/>
      <c r="O254" s="471"/>
      <c r="Q254" s="471"/>
    </row>
    <row r="255" spans="1:17">
      <c r="C255" s="4" t="s">
        <v>289</v>
      </c>
      <c r="D255" s="469"/>
      <c r="E255" s="469"/>
      <c r="F255" s="469"/>
      <c r="G255" s="469"/>
      <c r="H255" s="467"/>
      <c r="I255" s="467"/>
      <c r="J255" s="471"/>
      <c r="K255" s="471"/>
      <c r="L255" s="471"/>
      <c r="M255" s="471"/>
      <c r="N255" s="471"/>
      <c r="O255" s="471"/>
      <c r="Q255" s="471"/>
    </row>
    <row r="256" spans="1:17" ht="20.25">
      <c r="A256" s="411" t="s">
        <v>762</v>
      </c>
      <c r="B256" s="4"/>
      <c r="C256" s="4"/>
      <c r="D256" s="79"/>
      <c r="E256" s="4"/>
      <c r="F256" s="81"/>
      <c r="G256" s="81"/>
      <c r="H256" s="4"/>
      <c r="I256" s="452"/>
      <c r="L256" s="11"/>
      <c r="M256" s="11"/>
      <c r="N256" s="11"/>
      <c r="O256" s="11" t="str">
        <f>"Page "&amp;SUM(Q$3:Q256)&amp;" of "</f>
        <v xml:space="preserve">Page 4 of </v>
      </c>
      <c r="P256" s="412">
        <f>COUNT(Q$8:Q$58212)</f>
        <v>23</v>
      </c>
      <c r="Q256" s="539">
        <v>1</v>
      </c>
    </row>
    <row r="257" spans="1:17">
      <c r="B257" s="4"/>
      <c r="C257" s="4"/>
      <c r="D257" s="79"/>
      <c r="E257" s="4"/>
      <c r="F257" s="4"/>
      <c r="G257" s="4"/>
      <c r="H257" s="4"/>
      <c r="I257" s="452"/>
      <c r="J257" s="4"/>
      <c r="K257" s="4"/>
    </row>
    <row r="258" spans="1:17" ht="18">
      <c r="B258" s="413" t="s">
        <v>174</v>
      </c>
      <c r="C258" s="472" t="s">
        <v>290</v>
      </c>
      <c r="D258" s="79"/>
      <c r="E258" s="4"/>
      <c r="F258" s="4"/>
      <c r="G258" s="4"/>
      <c r="H258" s="4"/>
      <c r="I258" s="452"/>
      <c r="J258" s="452"/>
      <c r="K258" s="467"/>
      <c r="L258" s="452"/>
      <c r="M258" s="452"/>
      <c r="N258" s="452"/>
      <c r="O258" s="452"/>
      <c r="Q258" s="467"/>
    </row>
    <row r="259" spans="1:17" ht="18.75">
      <c r="B259" s="413"/>
      <c r="C259" s="13"/>
      <c r="D259" s="79"/>
      <c r="E259" s="4"/>
      <c r="F259" s="4"/>
      <c r="G259" s="4"/>
      <c r="H259" s="4"/>
      <c r="I259" s="452"/>
      <c r="J259" s="452"/>
      <c r="K259" s="467"/>
      <c r="L259" s="452"/>
      <c r="M259" s="452"/>
      <c r="N259" s="452"/>
      <c r="O259" s="452"/>
      <c r="Q259" s="467"/>
    </row>
    <row r="260" spans="1:17" ht="18.75">
      <c r="B260" s="413"/>
      <c r="C260" s="13" t="s">
        <v>291</v>
      </c>
      <c r="D260" s="79"/>
      <c r="E260" s="4"/>
      <c r="F260" s="4"/>
      <c r="G260" s="4"/>
      <c r="H260" s="4"/>
      <c r="I260" s="452"/>
      <c r="J260" s="452"/>
      <c r="K260" s="467"/>
      <c r="L260" s="452"/>
      <c r="M260" s="452"/>
      <c r="N260" s="452"/>
      <c r="O260" s="452"/>
      <c r="Q260" s="467"/>
    </row>
    <row r="261" spans="1:17" ht="15.75" thickBot="1">
      <c r="C261" s="247"/>
      <c r="D261" s="79"/>
      <c r="E261" s="4"/>
      <c r="F261" s="4"/>
      <c r="G261" s="4"/>
      <c r="H261" s="4"/>
      <c r="I261" s="452"/>
      <c r="J261" s="452"/>
      <c r="K261" s="467"/>
      <c r="L261" s="452"/>
      <c r="M261" s="452"/>
      <c r="N261" s="452"/>
      <c r="O261" s="452"/>
      <c r="Q261" s="467"/>
    </row>
    <row r="262" spans="1:17" ht="15.75">
      <c r="C262" s="414" t="s">
        <v>292</v>
      </c>
      <c r="D262" s="79"/>
      <c r="E262" s="4"/>
      <c r="F262" s="4"/>
      <c r="G262" s="4"/>
      <c r="H262" s="635"/>
      <c r="I262" s="4" t="s">
        <v>271</v>
      </c>
      <c r="J262" s="4"/>
      <c r="K262" s="4"/>
      <c r="L262" s="540">
        <f>+J268</f>
        <v>2025</v>
      </c>
      <c r="M262" s="524" t="s">
        <v>254</v>
      </c>
      <c r="N262" s="524" t="s">
        <v>255</v>
      </c>
      <c r="O262" s="525" t="s">
        <v>256</v>
      </c>
    </row>
    <row r="263" spans="1:17" ht="15.75">
      <c r="C263" s="414"/>
      <c r="D263" s="79"/>
      <c r="E263" s="4"/>
      <c r="F263" s="4"/>
      <c r="H263" s="4"/>
      <c r="I263" s="476"/>
      <c r="J263" s="476"/>
      <c r="K263" s="477"/>
      <c r="L263" s="541" t="s">
        <v>455</v>
      </c>
      <c r="M263" s="542">
        <f>VLOOKUP(J268,C275:P334,10)</f>
        <v>157247.77421727401</v>
      </c>
      <c r="N263" s="542">
        <f>VLOOKUP(J268,C275:P334,12)</f>
        <v>157247.77421727401</v>
      </c>
      <c r="O263" s="543">
        <f>+N263-M263</f>
        <v>0</v>
      </c>
      <c r="Q263" s="477"/>
    </row>
    <row r="264" spans="1:17">
      <c r="C264" s="479" t="s">
        <v>293</v>
      </c>
      <c r="D264" s="1274" t="s">
        <v>926</v>
      </c>
      <c r="E264" s="1274"/>
      <c r="F264" s="1274"/>
      <c r="G264" s="1274"/>
      <c r="H264" s="483"/>
      <c r="I264" s="483"/>
      <c r="J264" s="452"/>
      <c r="K264" s="467"/>
      <c r="L264" s="541" t="s">
        <v>456</v>
      </c>
      <c r="M264" s="544">
        <f>VLOOKUP(J268,C275:P334,6)</f>
        <v>161368.36365625239</v>
      </c>
      <c r="N264" s="544">
        <f>VLOOKUP(J268,C275:P334,7)</f>
        <v>161368.36365625239</v>
      </c>
      <c r="O264" s="545">
        <f>+N264-M264</f>
        <v>0</v>
      </c>
      <c r="Q264" s="467"/>
    </row>
    <row r="265" spans="1:17" ht="13.5" thickBot="1">
      <c r="C265" s="481"/>
      <c r="D265" s="4"/>
      <c r="E265" s="483"/>
      <c r="F265" s="483"/>
      <c r="G265" s="483"/>
      <c r="H265" s="483"/>
      <c r="I265" s="483"/>
      <c r="J265" s="452"/>
      <c r="K265" s="467"/>
      <c r="L265" s="492" t="s">
        <v>457</v>
      </c>
      <c r="M265" s="546">
        <f>+M264-M263</f>
        <v>4120.5894389783789</v>
      </c>
      <c r="N265" s="546">
        <f>+N264-N263</f>
        <v>4120.5894389783789</v>
      </c>
      <c r="O265" s="547">
        <f>+O264-O263</f>
        <v>0</v>
      </c>
      <c r="Q265" s="467"/>
    </row>
    <row r="266" spans="1:17" ht="13.5" thickBot="1">
      <c r="C266" s="481"/>
      <c r="D266" s="4"/>
      <c r="E266" s="483"/>
      <c r="F266" s="483"/>
      <c r="G266" s="483"/>
      <c r="H266" s="483"/>
      <c r="I266" s="483"/>
      <c r="J266" s="483"/>
      <c r="K266" s="483"/>
      <c r="L266" s="483"/>
      <c r="M266" s="483"/>
      <c r="N266" s="483"/>
      <c r="O266" s="483"/>
      <c r="Q266" s="483"/>
    </row>
    <row r="267" spans="1:17" ht="13.5" thickBot="1">
      <c r="C267" s="484" t="s">
        <v>294</v>
      </c>
      <c r="D267" s="485"/>
      <c r="E267" s="485"/>
      <c r="F267" s="485"/>
      <c r="G267" s="485"/>
      <c r="H267" s="485"/>
      <c r="I267" s="485"/>
      <c r="J267" s="485"/>
      <c r="Q267"/>
    </row>
    <row r="268" spans="1:17" ht="15">
      <c r="A268" s="977"/>
      <c r="C268" s="487" t="s">
        <v>272</v>
      </c>
      <c r="D268" s="926">
        <v>1232494.28</v>
      </c>
      <c r="E268" s="4" t="s">
        <v>273</v>
      </c>
      <c r="H268" s="79"/>
      <c r="I268" s="79"/>
      <c r="J268" s="488">
        <f>$J$95</f>
        <v>2025</v>
      </c>
      <c r="K268" s="135"/>
      <c r="L268" s="1287" t="s">
        <v>274</v>
      </c>
      <c r="M268" s="1287"/>
      <c r="N268" s="1287"/>
      <c r="O268" s="1287"/>
      <c r="Q268" s="135"/>
    </row>
    <row r="269" spans="1:17">
      <c r="A269" s="977"/>
      <c r="C269" s="487" t="s">
        <v>275</v>
      </c>
      <c r="D269" s="644">
        <v>2013</v>
      </c>
      <c r="E269" s="487" t="s">
        <v>276</v>
      </c>
      <c r="F269" s="79"/>
      <c r="G269" s="79"/>
      <c r="I269"/>
      <c r="J269" s="638">
        <v>0</v>
      </c>
      <c r="K269" s="489"/>
      <c r="L269" s="467" t="s">
        <v>475</v>
      </c>
      <c r="Q269" s="489"/>
    </row>
    <row r="270" spans="1:17">
      <c r="A270" s="977"/>
      <c r="C270" s="487" t="s">
        <v>277</v>
      </c>
      <c r="D270" s="926">
        <v>6</v>
      </c>
      <c r="E270" s="487" t="s">
        <v>278</v>
      </c>
      <c r="F270" s="79"/>
      <c r="G270" s="79"/>
      <c r="I270"/>
      <c r="J270" s="490">
        <f>$F$70</f>
        <v>0.14996626714737105</v>
      </c>
      <c r="K270" s="81"/>
      <c r="L270" s="4" t="str">
        <f>"          INPUT TRUE-UP ARR (WITH &amp; WITHOUT INCENTIVES) FROM EACH PRIOR YEAR"</f>
        <v xml:space="preserve">          INPUT TRUE-UP ARR (WITH &amp; WITHOUT INCENTIVES) FROM EACH PRIOR YEAR</v>
      </c>
      <c r="Q270" s="81"/>
    </row>
    <row r="271" spans="1:17">
      <c r="A271" s="977"/>
      <c r="C271" s="487" t="s">
        <v>279</v>
      </c>
      <c r="D271" s="491">
        <f>H79</f>
        <v>42</v>
      </c>
      <c r="E271" s="487" t="s">
        <v>280</v>
      </c>
      <c r="F271" s="79"/>
      <c r="G271" s="79"/>
      <c r="I271"/>
      <c r="J271" s="490">
        <f>IF(H262="",J270,$F$69)</f>
        <v>0.14996626714737105</v>
      </c>
      <c r="K271" s="81"/>
      <c r="L271" s="4" t="s">
        <v>362</v>
      </c>
      <c r="M271" s="81"/>
      <c r="N271" s="81"/>
      <c r="O271" s="81"/>
      <c r="Q271" s="81"/>
    </row>
    <row r="272" spans="1:17" ht="13.5" thickBot="1">
      <c r="A272" s="977"/>
      <c r="C272" s="487" t="s">
        <v>281</v>
      </c>
      <c r="D272" s="637" t="s">
        <v>923</v>
      </c>
      <c r="E272" s="492" t="s">
        <v>282</v>
      </c>
      <c r="F272" s="493"/>
      <c r="G272" s="493"/>
      <c r="H272" s="494"/>
      <c r="I272" s="494"/>
      <c r="J272" s="480">
        <f>IF(D268=0,0,D268/D271)</f>
        <v>29345.101904761905</v>
      </c>
      <c r="K272" s="467"/>
      <c r="L272" s="467" t="s">
        <v>363</v>
      </c>
      <c r="M272" s="467"/>
      <c r="N272" s="467"/>
      <c r="O272" s="467"/>
      <c r="Q272" s="467"/>
    </row>
    <row r="273" spans="1:17" ht="38.25">
      <c r="A273" s="12"/>
      <c r="B273" s="12"/>
      <c r="C273" s="495" t="s">
        <v>272</v>
      </c>
      <c r="D273" s="496" t="s">
        <v>283</v>
      </c>
      <c r="E273" s="497" t="s">
        <v>284</v>
      </c>
      <c r="F273" s="496" t="s">
        <v>285</v>
      </c>
      <c r="G273" s="496" t="s">
        <v>458</v>
      </c>
      <c r="H273" s="497" t="s">
        <v>356</v>
      </c>
      <c r="I273" s="498" t="s">
        <v>356</v>
      </c>
      <c r="J273" s="495" t="s">
        <v>295</v>
      </c>
      <c r="K273" s="499"/>
      <c r="L273" s="497" t="s">
        <v>358</v>
      </c>
      <c r="M273" s="497" t="s">
        <v>364</v>
      </c>
      <c r="N273" s="497" t="s">
        <v>358</v>
      </c>
      <c r="O273" s="497" t="s">
        <v>366</v>
      </c>
      <c r="P273" s="497" t="s">
        <v>286</v>
      </c>
      <c r="Q273" s="128"/>
    </row>
    <row r="274" spans="1:17" ht="13.5" thickBot="1">
      <c r="C274" s="500" t="s">
        <v>177</v>
      </c>
      <c r="D274" s="501" t="s">
        <v>178</v>
      </c>
      <c r="E274" s="500" t="s">
        <v>37</v>
      </c>
      <c r="F274" s="501" t="s">
        <v>178</v>
      </c>
      <c r="G274" s="501" t="s">
        <v>178</v>
      </c>
      <c r="H274" s="502" t="s">
        <v>298</v>
      </c>
      <c r="I274" s="503" t="s">
        <v>300</v>
      </c>
      <c r="J274" s="500" t="s">
        <v>389</v>
      </c>
      <c r="K274" s="504"/>
      <c r="L274" s="502" t="s">
        <v>287</v>
      </c>
      <c r="M274" s="502" t="s">
        <v>287</v>
      </c>
      <c r="N274" s="502" t="s">
        <v>467</v>
      </c>
      <c r="O274" s="502" t="s">
        <v>467</v>
      </c>
      <c r="P274" s="502" t="s">
        <v>467</v>
      </c>
      <c r="Q274" s="135"/>
    </row>
    <row r="275" spans="1:17">
      <c r="C275" s="505">
        <f>IF(D269= "","-",D269)</f>
        <v>2013</v>
      </c>
      <c r="D275" s="469">
        <f>+D268</f>
        <v>1232494.28</v>
      </c>
      <c r="E275" s="506">
        <f>+J272/12*(12-D270)</f>
        <v>14672.550952380952</v>
      </c>
      <c r="F275" s="548">
        <f t="shared" ref="F275:F334" si="24">+D275-E275</f>
        <v>1217821.729047619</v>
      </c>
      <c r="G275" s="469">
        <f t="shared" ref="G275:G334" si="25">+(D275+F275)/2</f>
        <v>1225158.0045238095</v>
      </c>
      <c r="H275" s="507">
        <f>+J270*G275+E275</f>
        <v>198404.92355653862</v>
      </c>
      <c r="I275" s="508">
        <f>+J271*G275+E275</f>
        <v>198404.92355653862</v>
      </c>
      <c r="J275" s="509">
        <f t="shared" ref="J275:J334" si="26">+I275-H275</f>
        <v>0</v>
      </c>
      <c r="K275" s="509"/>
      <c r="L275" s="513">
        <v>219263</v>
      </c>
      <c r="M275" s="549">
        <f t="shared" ref="M275:M334" si="27">IF(L275&lt;&gt;0,+H275-L275,0)</f>
        <v>-20858.076443461381</v>
      </c>
      <c r="N275" s="513">
        <v>219263</v>
      </c>
      <c r="O275" s="549">
        <f t="shared" ref="O275:O334" si="28">IF(N275&lt;&gt;0,+I275-N275,0)</f>
        <v>-20858.076443461381</v>
      </c>
      <c r="P275" s="549">
        <f t="shared" ref="P275:P334" si="29">+O275-M275</f>
        <v>0</v>
      </c>
      <c r="Q275" s="471"/>
    </row>
    <row r="276" spans="1:17">
      <c r="C276" s="505">
        <f>IF(D269="","-",+C275+1)</f>
        <v>2014</v>
      </c>
      <c r="D276" s="469">
        <f t="shared" ref="D276:D334" si="30">F275</f>
        <v>1217821.729047619</v>
      </c>
      <c r="E276" s="511">
        <f>IF(D276&gt;$J$272,$J$272,D276)</f>
        <v>29345.101904761905</v>
      </c>
      <c r="F276" s="511">
        <f t="shared" si="24"/>
        <v>1188476.6271428571</v>
      </c>
      <c r="G276" s="469">
        <f t="shared" si="25"/>
        <v>1203149.1780952381</v>
      </c>
      <c r="H276" s="506">
        <f>+J270*G276+E276</f>
        <v>209776.89296513225</v>
      </c>
      <c r="I276" s="512">
        <f>+J271*G276+E276</f>
        <v>209776.89296513225</v>
      </c>
      <c r="J276" s="509">
        <f t="shared" si="26"/>
        <v>0</v>
      </c>
      <c r="K276" s="509"/>
      <c r="L276" s="513">
        <v>203042</v>
      </c>
      <c r="M276" s="509">
        <f t="shared" si="27"/>
        <v>6734.8929651322542</v>
      </c>
      <c r="N276" s="513">
        <v>203042</v>
      </c>
      <c r="O276" s="509">
        <f t="shared" si="28"/>
        <v>6734.8929651322542</v>
      </c>
      <c r="P276" s="509">
        <f t="shared" si="29"/>
        <v>0</v>
      </c>
      <c r="Q276" s="471"/>
    </row>
    <row r="277" spans="1:17">
      <c r="C277" s="505">
        <f>IF(D269="","-",+C276+1)</f>
        <v>2015</v>
      </c>
      <c r="D277" s="469">
        <f t="shared" si="30"/>
        <v>1188476.6271428571</v>
      </c>
      <c r="E277" s="511">
        <f t="shared" ref="E277:E334" si="31">IF(D277&gt;$J$272,$J$272,D277)</f>
        <v>29345.101904761905</v>
      </c>
      <c r="F277" s="511">
        <f t="shared" si="24"/>
        <v>1159131.5252380951</v>
      </c>
      <c r="G277" s="469">
        <f t="shared" si="25"/>
        <v>1173804.0761904761</v>
      </c>
      <c r="H277" s="506">
        <f>+J270*G277+E277</f>
        <v>205376.11757341592</v>
      </c>
      <c r="I277" s="512">
        <f>+J271*G277+E277</f>
        <v>205376.11757341592</v>
      </c>
      <c r="J277" s="509">
        <f t="shared" si="26"/>
        <v>0</v>
      </c>
      <c r="K277" s="509"/>
      <c r="L277" s="513">
        <v>228159</v>
      </c>
      <c r="M277" s="509">
        <f t="shared" si="27"/>
        <v>-22782.882426584081</v>
      </c>
      <c r="N277" s="513">
        <v>228159</v>
      </c>
      <c r="O277" s="509">
        <f t="shared" si="28"/>
        <v>-22782.882426584081</v>
      </c>
      <c r="P277" s="509">
        <f t="shared" si="29"/>
        <v>0</v>
      </c>
      <c r="Q277" s="471"/>
    </row>
    <row r="278" spans="1:17">
      <c r="C278" s="505">
        <f>IF(D269="","-",+C277+1)</f>
        <v>2016</v>
      </c>
      <c r="D278" s="469">
        <f t="shared" si="30"/>
        <v>1159131.5252380951</v>
      </c>
      <c r="E278" s="511">
        <f t="shared" si="31"/>
        <v>29345.101904761905</v>
      </c>
      <c r="F278" s="511">
        <f t="shared" si="24"/>
        <v>1129786.4233333331</v>
      </c>
      <c r="G278" s="469">
        <f t="shared" si="25"/>
        <v>1144458.9742857141</v>
      </c>
      <c r="H278" s="506">
        <f>+J270*G278+E278</f>
        <v>200975.34218169958</v>
      </c>
      <c r="I278" s="512">
        <f>+J271*G278+E278</f>
        <v>200975.34218169958</v>
      </c>
      <c r="J278" s="509">
        <f t="shared" si="26"/>
        <v>0</v>
      </c>
      <c r="K278" s="509"/>
      <c r="L278" s="513">
        <v>81330</v>
      </c>
      <c r="M278" s="509">
        <f t="shared" si="27"/>
        <v>119645.34218169958</v>
      </c>
      <c r="N278" s="513">
        <v>81330</v>
      </c>
      <c r="O278" s="509">
        <f t="shared" si="28"/>
        <v>119645.34218169958</v>
      </c>
      <c r="P278" s="509">
        <f t="shared" si="29"/>
        <v>0</v>
      </c>
      <c r="Q278" s="471"/>
    </row>
    <row r="279" spans="1:17">
      <c r="C279" s="505">
        <f>IF(D269="","-",+C278+1)</f>
        <v>2017</v>
      </c>
      <c r="D279" s="469">
        <f t="shared" si="30"/>
        <v>1129786.4233333331</v>
      </c>
      <c r="E279" s="511">
        <f t="shared" si="31"/>
        <v>29345.101904761905</v>
      </c>
      <c r="F279" s="511">
        <f t="shared" si="24"/>
        <v>1100441.3214285711</v>
      </c>
      <c r="G279" s="469">
        <f t="shared" si="25"/>
        <v>1115113.8723809521</v>
      </c>
      <c r="H279" s="506">
        <f>+J270*G279+E279</f>
        <v>196574.56678998319</v>
      </c>
      <c r="I279" s="512">
        <f>+J271*G279+E279</f>
        <v>196574.56678998319</v>
      </c>
      <c r="J279" s="509">
        <f t="shared" si="26"/>
        <v>0</v>
      </c>
      <c r="K279" s="509"/>
      <c r="L279" s="513">
        <v>222274</v>
      </c>
      <c r="M279" s="509">
        <f t="shared" si="27"/>
        <v>-25699.43321001681</v>
      </c>
      <c r="N279" s="513">
        <v>222274</v>
      </c>
      <c r="O279" s="509">
        <f t="shared" si="28"/>
        <v>-25699.43321001681</v>
      </c>
      <c r="P279" s="509">
        <f t="shared" si="29"/>
        <v>0</v>
      </c>
      <c r="Q279" s="471"/>
    </row>
    <row r="280" spans="1:17">
      <c r="C280" s="505">
        <f>IF(D269="","-",+C279+1)</f>
        <v>2018</v>
      </c>
      <c r="D280" s="469">
        <f t="shared" si="30"/>
        <v>1100441.3214285711</v>
      </c>
      <c r="E280" s="511">
        <f t="shared" si="31"/>
        <v>29345.101904761905</v>
      </c>
      <c r="F280" s="511">
        <f t="shared" si="24"/>
        <v>1071096.2195238092</v>
      </c>
      <c r="G280" s="469">
        <f t="shared" si="25"/>
        <v>1085768.7704761901</v>
      </c>
      <c r="H280" s="506">
        <f>+J270*G280+E280</f>
        <v>192173.79139826685</v>
      </c>
      <c r="I280" s="512">
        <f>+J271*G280+E280</f>
        <v>192173.79139826685</v>
      </c>
      <c r="J280" s="509">
        <f t="shared" si="26"/>
        <v>0</v>
      </c>
      <c r="K280" s="509"/>
      <c r="L280" s="513">
        <v>147062</v>
      </c>
      <c r="M280" s="509">
        <f t="shared" si="27"/>
        <v>45111.791398266854</v>
      </c>
      <c r="N280" s="513">
        <v>147062</v>
      </c>
      <c r="O280" s="509">
        <f t="shared" si="28"/>
        <v>45111.791398266854</v>
      </c>
      <c r="P280" s="509">
        <f t="shared" si="29"/>
        <v>0</v>
      </c>
      <c r="Q280" s="471"/>
    </row>
    <row r="281" spans="1:17">
      <c r="C281" s="505">
        <f>IF(D269="","-",+C280+1)</f>
        <v>2019</v>
      </c>
      <c r="D281" s="941">
        <f t="shared" si="30"/>
        <v>1071096.2195238092</v>
      </c>
      <c r="E281" s="511">
        <f t="shared" si="31"/>
        <v>29345.101904761905</v>
      </c>
      <c r="F281" s="511">
        <f t="shared" si="24"/>
        <v>1041751.1176190473</v>
      </c>
      <c r="G281" s="469">
        <f t="shared" si="25"/>
        <v>1056423.6685714282</v>
      </c>
      <c r="H281" s="506">
        <f>+J270*G281+E281</f>
        <v>187773.01600655046</v>
      </c>
      <c r="I281" s="512">
        <f>+J271*G281+E281</f>
        <v>187773.01600655046</v>
      </c>
      <c r="J281" s="509">
        <f t="shared" si="26"/>
        <v>0</v>
      </c>
      <c r="K281" s="509"/>
      <c r="L281" s="513">
        <v>142952</v>
      </c>
      <c r="M281" s="509">
        <f t="shared" si="27"/>
        <v>44821.016006550461</v>
      </c>
      <c r="N281" s="513">
        <v>142952</v>
      </c>
      <c r="O281" s="509">
        <f t="shared" si="28"/>
        <v>44821.016006550461</v>
      </c>
      <c r="P281" s="509">
        <f t="shared" si="29"/>
        <v>0</v>
      </c>
      <c r="Q281" s="471"/>
    </row>
    <row r="282" spans="1:17">
      <c r="C282" s="505">
        <f>IF(D269="","-",+C281+1)</f>
        <v>2020</v>
      </c>
      <c r="D282" s="469">
        <f t="shared" si="30"/>
        <v>1041751.1176190473</v>
      </c>
      <c r="E282" s="511">
        <f t="shared" si="31"/>
        <v>29345.101904761905</v>
      </c>
      <c r="F282" s="511">
        <f t="shared" si="24"/>
        <v>1012406.0157142854</v>
      </c>
      <c r="G282" s="469">
        <f t="shared" si="25"/>
        <v>1027078.5666666664</v>
      </c>
      <c r="H282" s="506">
        <f>+J270*G282+E282</f>
        <v>183372.24061483413</v>
      </c>
      <c r="I282" s="512">
        <f>+J271*G282+E282</f>
        <v>183372.24061483413</v>
      </c>
      <c r="J282" s="509">
        <f t="shared" si="26"/>
        <v>0</v>
      </c>
      <c r="K282" s="509"/>
      <c r="L282" s="513">
        <v>137673.88048936386</v>
      </c>
      <c r="M282" s="509">
        <f t="shared" si="27"/>
        <v>45698.360125470266</v>
      </c>
      <c r="N282" s="513">
        <v>137673.88048936386</v>
      </c>
      <c r="O282" s="509">
        <f t="shared" si="28"/>
        <v>45698.360125470266</v>
      </c>
      <c r="P282" s="509">
        <f t="shared" si="29"/>
        <v>0</v>
      </c>
      <c r="Q282" s="471"/>
    </row>
    <row r="283" spans="1:17">
      <c r="C283" s="505">
        <f>IF(D269="","-",+C282+1)</f>
        <v>2021</v>
      </c>
      <c r="D283" s="469">
        <f t="shared" si="30"/>
        <v>1012406.0157142854</v>
      </c>
      <c r="E283" s="511">
        <f t="shared" si="31"/>
        <v>29345.101904761905</v>
      </c>
      <c r="F283" s="511">
        <f t="shared" si="24"/>
        <v>983060.91380952357</v>
      </c>
      <c r="G283" s="469">
        <f t="shared" si="25"/>
        <v>997733.46476190444</v>
      </c>
      <c r="H283" s="506">
        <f>+J270*G283+E283</f>
        <v>178971.46522311779</v>
      </c>
      <c r="I283" s="512">
        <f>+J271*G283+E283</f>
        <v>178971.46522311779</v>
      </c>
      <c r="J283" s="509">
        <f t="shared" si="26"/>
        <v>0</v>
      </c>
      <c r="K283" s="509"/>
      <c r="L283" s="513">
        <v>172566.23887964021</v>
      </c>
      <c r="M283" s="509">
        <f t="shared" si="27"/>
        <v>6405.2263434775814</v>
      </c>
      <c r="N283" s="513">
        <v>172566.23887964021</v>
      </c>
      <c r="O283" s="509">
        <f t="shared" si="28"/>
        <v>6405.2263434775814</v>
      </c>
      <c r="P283" s="509">
        <f t="shared" si="29"/>
        <v>0</v>
      </c>
      <c r="Q283" s="471"/>
    </row>
    <row r="284" spans="1:17">
      <c r="C284" s="963">
        <f>IF(D269="","-",+C283+1)</f>
        <v>2022</v>
      </c>
      <c r="D284" s="469">
        <f t="shared" si="30"/>
        <v>983060.91380952357</v>
      </c>
      <c r="E284" s="511">
        <f t="shared" si="31"/>
        <v>29345.101904761905</v>
      </c>
      <c r="F284" s="511">
        <f t="shared" si="24"/>
        <v>953715.81190476171</v>
      </c>
      <c r="G284" s="469">
        <f t="shared" si="25"/>
        <v>968388.3628571427</v>
      </c>
      <c r="H284" s="506">
        <f>+J270*G284+E284</f>
        <v>174570.68983140145</v>
      </c>
      <c r="I284" s="512">
        <f>+J271*G284+E284</f>
        <v>174570.68983140145</v>
      </c>
      <c r="J284" s="509">
        <f t="shared" si="26"/>
        <v>0</v>
      </c>
      <c r="K284" s="509"/>
      <c r="L284" s="513">
        <v>169245.83785646065</v>
      </c>
      <c r="M284" s="509">
        <f t="shared" si="27"/>
        <v>5324.8519749408006</v>
      </c>
      <c r="N284" s="513">
        <v>169245.83785646065</v>
      </c>
      <c r="O284" s="509">
        <f t="shared" si="28"/>
        <v>5324.8519749408006</v>
      </c>
      <c r="P284" s="509">
        <f t="shared" si="29"/>
        <v>0</v>
      </c>
      <c r="Q284" s="471"/>
    </row>
    <row r="285" spans="1:17">
      <c r="C285" s="505">
        <f>IF(D269="","-",+C284+1)</f>
        <v>2023</v>
      </c>
      <c r="D285" s="469">
        <f t="shared" si="30"/>
        <v>953715.81190476171</v>
      </c>
      <c r="E285" s="511">
        <f t="shared" si="31"/>
        <v>29345.101904761905</v>
      </c>
      <c r="F285" s="511">
        <f t="shared" si="24"/>
        <v>924370.70999999985</v>
      </c>
      <c r="G285" s="469">
        <f t="shared" si="25"/>
        <v>939043.26095238072</v>
      </c>
      <c r="H285" s="506">
        <f>+J270*G285+E285</f>
        <v>170169.91443968512</v>
      </c>
      <c r="I285" s="512">
        <f>+J271*G285+E285</f>
        <v>170169.91443968512</v>
      </c>
      <c r="J285" s="509">
        <f t="shared" si="26"/>
        <v>0</v>
      </c>
      <c r="K285" s="509"/>
      <c r="L285" s="513">
        <v>171645.58508515445</v>
      </c>
      <c r="M285" s="509">
        <f t="shared" si="27"/>
        <v>-1475.670645469334</v>
      </c>
      <c r="N285" s="513">
        <v>171645.58508515445</v>
      </c>
      <c r="O285" s="509">
        <f t="shared" si="28"/>
        <v>-1475.670645469334</v>
      </c>
      <c r="P285" s="509">
        <f t="shared" si="29"/>
        <v>0</v>
      </c>
      <c r="Q285" s="471"/>
    </row>
    <row r="286" spans="1:17">
      <c r="C286" s="505">
        <f>IF(D269="","-",+C285+1)</f>
        <v>2024</v>
      </c>
      <c r="D286" s="469">
        <f t="shared" si="30"/>
        <v>924370.70999999985</v>
      </c>
      <c r="E286" s="511">
        <f t="shared" si="31"/>
        <v>29345.101904761905</v>
      </c>
      <c r="F286" s="511">
        <f t="shared" si="24"/>
        <v>895025.60809523799</v>
      </c>
      <c r="G286" s="469">
        <f t="shared" si="25"/>
        <v>909698.15904761897</v>
      </c>
      <c r="H286" s="506">
        <f>+J270*G286+E286</f>
        <v>165769.13904796878</v>
      </c>
      <c r="I286" s="512">
        <f>+J271*G286+E286</f>
        <v>165769.13904796878</v>
      </c>
      <c r="J286" s="509">
        <f t="shared" si="26"/>
        <v>0</v>
      </c>
      <c r="K286" s="509"/>
      <c r="L286" s="513">
        <v>166555.66557696005</v>
      </c>
      <c r="M286" s="509">
        <f t="shared" si="27"/>
        <v>-786.52652899126406</v>
      </c>
      <c r="N286" s="513">
        <v>166555.66557696005</v>
      </c>
      <c r="O286" s="509">
        <f t="shared" si="28"/>
        <v>-786.52652899126406</v>
      </c>
      <c r="P286" s="509">
        <f t="shared" si="29"/>
        <v>0</v>
      </c>
      <c r="Q286" s="471"/>
    </row>
    <row r="287" spans="1:17">
      <c r="C287" s="505">
        <f>IF(D269="","-",+C286+1)</f>
        <v>2025</v>
      </c>
      <c r="D287" s="469">
        <f t="shared" si="30"/>
        <v>895025.60809523799</v>
      </c>
      <c r="E287" s="511">
        <f t="shared" si="31"/>
        <v>29345.101904761905</v>
      </c>
      <c r="F287" s="511">
        <f t="shared" si="24"/>
        <v>865680.50619047612</v>
      </c>
      <c r="G287" s="469">
        <f t="shared" si="25"/>
        <v>880353.057142857</v>
      </c>
      <c r="H287" s="506">
        <f>+J270*G287+E287</f>
        <v>161368.36365625239</v>
      </c>
      <c r="I287" s="512">
        <f>+J271*G287+E287</f>
        <v>161368.36365625239</v>
      </c>
      <c r="J287" s="509">
        <f t="shared" si="26"/>
        <v>0</v>
      </c>
      <c r="K287" s="509"/>
      <c r="L287" s="513">
        <v>157247.77421727401</v>
      </c>
      <c r="M287" s="509">
        <f t="shared" si="27"/>
        <v>4120.5894389783789</v>
      </c>
      <c r="N287" s="513">
        <v>157247.77421727401</v>
      </c>
      <c r="O287" s="509">
        <f t="shared" si="28"/>
        <v>4120.5894389783789</v>
      </c>
      <c r="P287" s="509">
        <f t="shared" si="29"/>
        <v>0</v>
      </c>
      <c r="Q287" s="471"/>
    </row>
    <row r="288" spans="1:17">
      <c r="C288" s="505">
        <f>IF(D269="","-",+C287+1)</f>
        <v>2026</v>
      </c>
      <c r="D288" s="469">
        <f t="shared" si="30"/>
        <v>865680.50619047612</v>
      </c>
      <c r="E288" s="511">
        <f t="shared" si="31"/>
        <v>29345.101904761905</v>
      </c>
      <c r="F288" s="511">
        <f t="shared" si="24"/>
        <v>836335.40428571426</v>
      </c>
      <c r="G288" s="469">
        <f t="shared" si="25"/>
        <v>851007.95523809525</v>
      </c>
      <c r="H288" s="506">
        <f>+J270*G288+E288</f>
        <v>156967.58826453608</v>
      </c>
      <c r="I288" s="512">
        <f>+J271*G288+E288</f>
        <v>156967.58826453608</v>
      </c>
      <c r="J288" s="509">
        <f t="shared" si="26"/>
        <v>0</v>
      </c>
      <c r="K288" s="509"/>
      <c r="L288" s="513"/>
      <c r="M288" s="509">
        <f t="shared" si="27"/>
        <v>0</v>
      </c>
      <c r="N288" s="513"/>
      <c r="O288" s="509">
        <f t="shared" si="28"/>
        <v>0</v>
      </c>
      <c r="P288" s="509">
        <f t="shared" si="29"/>
        <v>0</v>
      </c>
      <c r="Q288" s="471"/>
    </row>
    <row r="289" spans="3:17">
      <c r="C289" s="505">
        <f>IF(D269="","-",+C288+1)</f>
        <v>2027</v>
      </c>
      <c r="D289" s="469">
        <f t="shared" si="30"/>
        <v>836335.40428571426</v>
      </c>
      <c r="E289" s="511">
        <f t="shared" si="31"/>
        <v>29345.101904761905</v>
      </c>
      <c r="F289" s="511">
        <f t="shared" si="24"/>
        <v>806990.3023809524</v>
      </c>
      <c r="G289" s="469">
        <f t="shared" si="25"/>
        <v>821662.85333333327</v>
      </c>
      <c r="H289" s="506">
        <f>+J270*G289+E289</f>
        <v>152566.81287281972</v>
      </c>
      <c r="I289" s="512">
        <f>+J271*G289+E289</f>
        <v>152566.81287281972</v>
      </c>
      <c r="J289" s="509">
        <f t="shared" si="26"/>
        <v>0</v>
      </c>
      <c r="K289" s="509"/>
      <c r="L289" s="513"/>
      <c r="M289" s="509">
        <f t="shared" si="27"/>
        <v>0</v>
      </c>
      <c r="N289" s="513"/>
      <c r="O289" s="509">
        <f t="shared" si="28"/>
        <v>0</v>
      </c>
      <c r="P289" s="509">
        <f t="shared" si="29"/>
        <v>0</v>
      </c>
      <c r="Q289" s="471"/>
    </row>
    <row r="290" spans="3:17">
      <c r="C290" s="505">
        <f>IF(D269="","-",+C289+1)</f>
        <v>2028</v>
      </c>
      <c r="D290" s="469">
        <f t="shared" si="30"/>
        <v>806990.3023809524</v>
      </c>
      <c r="E290" s="511">
        <f t="shared" si="31"/>
        <v>29345.101904761905</v>
      </c>
      <c r="F290" s="511">
        <f t="shared" si="24"/>
        <v>777645.20047619054</v>
      </c>
      <c r="G290" s="469">
        <f t="shared" si="25"/>
        <v>792317.75142857153</v>
      </c>
      <c r="H290" s="506">
        <f>+J270*G290+E290</f>
        <v>148166.03748110338</v>
      </c>
      <c r="I290" s="512">
        <f>+J271*G290+E290</f>
        <v>148166.03748110338</v>
      </c>
      <c r="J290" s="509">
        <f t="shared" si="26"/>
        <v>0</v>
      </c>
      <c r="K290" s="509"/>
      <c r="L290" s="513"/>
      <c r="M290" s="509">
        <f t="shared" si="27"/>
        <v>0</v>
      </c>
      <c r="N290" s="513"/>
      <c r="O290" s="509">
        <f t="shared" si="28"/>
        <v>0</v>
      </c>
      <c r="P290" s="509">
        <f t="shared" si="29"/>
        <v>0</v>
      </c>
      <c r="Q290" s="471"/>
    </row>
    <row r="291" spans="3:17">
      <c r="C291" s="505">
        <f>IF(D269="","-",+C290+1)</f>
        <v>2029</v>
      </c>
      <c r="D291" s="469">
        <f t="shared" si="30"/>
        <v>777645.20047619054</v>
      </c>
      <c r="E291" s="511">
        <f t="shared" si="31"/>
        <v>29345.101904761905</v>
      </c>
      <c r="F291" s="511">
        <f t="shared" si="24"/>
        <v>748300.09857142868</v>
      </c>
      <c r="G291" s="469">
        <f t="shared" si="25"/>
        <v>762972.64952380955</v>
      </c>
      <c r="H291" s="506">
        <f>+J270*G291+E291</f>
        <v>143765.26208938705</v>
      </c>
      <c r="I291" s="512">
        <f>+J271*G291+E291</f>
        <v>143765.26208938705</v>
      </c>
      <c r="J291" s="509">
        <f t="shared" si="26"/>
        <v>0</v>
      </c>
      <c r="K291" s="509"/>
      <c r="L291" s="513"/>
      <c r="M291" s="509">
        <f t="shared" si="27"/>
        <v>0</v>
      </c>
      <c r="N291" s="513"/>
      <c r="O291" s="509">
        <f t="shared" si="28"/>
        <v>0</v>
      </c>
      <c r="P291" s="509">
        <f t="shared" si="29"/>
        <v>0</v>
      </c>
      <c r="Q291" s="471"/>
    </row>
    <row r="292" spans="3:17">
      <c r="C292" s="505">
        <f>IF(D269="","-",+C291+1)</f>
        <v>2030</v>
      </c>
      <c r="D292" s="469">
        <f t="shared" si="30"/>
        <v>748300.09857142868</v>
      </c>
      <c r="E292" s="511">
        <f t="shared" si="31"/>
        <v>29345.101904761905</v>
      </c>
      <c r="F292" s="511">
        <f t="shared" si="24"/>
        <v>718954.99666666682</v>
      </c>
      <c r="G292" s="469">
        <f t="shared" si="25"/>
        <v>733627.54761904781</v>
      </c>
      <c r="H292" s="506">
        <f>+J270*G292+E292</f>
        <v>139364.48669767071</v>
      </c>
      <c r="I292" s="512">
        <f>+J271*G292+E292</f>
        <v>139364.48669767071</v>
      </c>
      <c r="J292" s="509">
        <f t="shared" si="26"/>
        <v>0</v>
      </c>
      <c r="K292" s="509"/>
      <c r="L292" s="513"/>
      <c r="M292" s="509">
        <f t="shared" si="27"/>
        <v>0</v>
      </c>
      <c r="N292" s="513"/>
      <c r="O292" s="509">
        <f t="shared" si="28"/>
        <v>0</v>
      </c>
      <c r="P292" s="509">
        <f t="shared" si="29"/>
        <v>0</v>
      </c>
      <c r="Q292" s="471"/>
    </row>
    <row r="293" spans="3:17">
      <c r="C293" s="505">
        <f>IF(D269="","-",+C292+1)</f>
        <v>2031</v>
      </c>
      <c r="D293" s="469">
        <f t="shared" si="30"/>
        <v>718954.99666666682</v>
      </c>
      <c r="E293" s="511">
        <f t="shared" si="31"/>
        <v>29345.101904761905</v>
      </c>
      <c r="F293" s="511">
        <f t="shared" si="24"/>
        <v>689609.89476190496</v>
      </c>
      <c r="G293" s="469">
        <f t="shared" si="25"/>
        <v>704282.44571428583</v>
      </c>
      <c r="H293" s="506">
        <f>+J270*G293+E293</f>
        <v>134963.71130595432</v>
      </c>
      <c r="I293" s="512">
        <f>+J271*G293+E293</f>
        <v>134963.71130595432</v>
      </c>
      <c r="J293" s="509">
        <f t="shared" si="26"/>
        <v>0</v>
      </c>
      <c r="K293" s="509"/>
      <c r="L293" s="513"/>
      <c r="M293" s="509">
        <f t="shared" si="27"/>
        <v>0</v>
      </c>
      <c r="N293" s="513"/>
      <c r="O293" s="509">
        <f t="shared" si="28"/>
        <v>0</v>
      </c>
      <c r="P293" s="509">
        <f t="shared" si="29"/>
        <v>0</v>
      </c>
      <c r="Q293" s="471"/>
    </row>
    <row r="294" spans="3:17">
      <c r="C294" s="505">
        <f>IF(D269="","-",+C293+1)</f>
        <v>2032</v>
      </c>
      <c r="D294" s="469">
        <f t="shared" si="30"/>
        <v>689609.89476190496</v>
      </c>
      <c r="E294" s="511">
        <f t="shared" si="31"/>
        <v>29345.101904761905</v>
      </c>
      <c r="F294" s="511">
        <f t="shared" si="24"/>
        <v>660264.7928571431</v>
      </c>
      <c r="G294" s="469">
        <f t="shared" si="25"/>
        <v>674937.34380952409</v>
      </c>
      <c r="H294" s="506">
        <f>+J270*G294+E294</f>
        <v>130562.93591423801</v>
      </c>
      <c r="I294" s="512">
        <f>+J271*G294+E294</f>
        <v>130562.93591423801</v>
      </c>
      <c r="J294" s="509">
        <f t="shared" si="26"/>
        <v>0</v>
      </c>
      <c r="K294" s="509"/>
      <c r="L294" s="513"/>
      <c r="M294" s="509">
        <f t="shared" si="27"/>
        <v>0</v>
      </c>
      <c r="N294" s="513"/>
      <c r="O294" s="509">
        <f t="shared" si="28"/>
        <v>0</v>
      </c>
      <c r="P294" s="509">
        <f t="shared" si="29"/>
        <v>0</v>
      </c>
      <c r="Q294" s="471"/>
    </row>
    <row r="295" spans="3:17">
      <c r="C295" s="505">
        <f>IF(D269="","-",+C294+1)</f>
        <v>2033</v>
      </c>
      <c r="D295" s="469">
        <f t="shared" si="30"/>
        <v>660264.7928571431</v>
      </c>
      <c r="E295" s="511">
        <f t="shared" si="31"/>
        <v>29345.101904761905</v>
      </c>
      <c r="F295" s="511">
        <f t="shared" si="24"/>
        <v>630919.69095238124</v>
      </c>
      <c r="G295" s="469">
        <f t="shared" si="25"/>
        <v>645592.24190476211</v>
      </c>
      <c r="H295" s="506">
        <f>+J270*G295+E295</f>
        <v>126162.16052252165</v>
      </c>
      <c r="I295" s="512">
        <f>+J271*G295+E295</f>
        <v>126162.16052252165</v>
      </c>
      <c r="J295" s="509">
        <f t="shared" si="26"/>
        <v>0</v>
      </c>
      <c r="K295" s="509"/>
      <c r="L295" s="513"/>
      <c r="M295" s="509">
        <f t="shared" si="27"/>
        <v>0</v>
      </c>
      <c r="N295" s="513"/>
      <c r="O295" s="509">
        <f t="shared" si="28"/>
        <v>0</v>
      </c>
      <c r="P295" s="509">
        <f t="shared" si="29"/>
        <v>0</v>
      </c>
      <c r="Q295" s="471"/>
    </row>
    <row r="296" spans="3:17">
      <c r="C296" s="505">
        <f>IF(D269="","-",+C295+1)</f>
        <v>2034</v>
      </c>
      <c r="D296" s="469">
        <f t="shared" si="30"/>
        <v>630919.69095238124</v>
      </c>
      <c r="E296" s="511">
        <f t="shared" si="31"/>
        <v>29345.101904761905</v>
      </c>
      <c r="F296" s="511">
        <f t="shared" si="24"/>
        <v>601574.58904761937</v>
      </c>
      <c r="G296" s="469">
        <f t="shared" si="25"/>
        <v>616247.14000000036</v>
      </c>
      <c r="H296" s="506">
        <f>+J270*G296+E296</f>
        <v>121761.38513080533</v>
      </c>
      <c r="I296" s="512">
        <f>+J271*G296+E296</f>
        <v>121761.38513080533</v>
      </c>
      <c r="J296" s="509">
        <f t="shared" si="26"/>
        <v>0</v>
      </c>
      <c r="K296" s="509"/>
      <c r="L296" s="513"/>
      <c r="M296" s="509">
        <f t="shared" si="27"/>
        <v>0</v>
      </c>
      <c r="N296" s="513"/>
      <c r="O296" s="509">
        <f t="shared" si="28"/>
        <v>0</v>
      </c>
      <c r="P296" s="509">
        <f t="shared" si="29"/>
        <v>0</v>
      </c>
      <c r="Q296" s="471"/>
    </row>
    <row r="297" spans="3:17">
      <c r="C297" s="505">
        <f>IF(D269="","-",+C296+1)</f>
        <v>2035</v>
      </c>
      <c r="D297" s="469">
        <f t="shared" si="30"/>
        <v>601574.58904761937</v>
      </c>
      <c r="E297" s="511">
        <f t="shared" si="31"/>
        <v>29345.101904761905</v>
      </c>
      <c r="F297" s="511">
        <f t="shared" si="24"/>
        <v>572229.48714285751</v>
      </c>
      <c r="G297" s="469">
        <f t="shared" si="25"/>
        <v>586902.03809523839</v>
      </c>
      <c r="H297" s="506">
        <f>+J270*G297+E297</f>
        <v>117360.60973908896</v>
      </c>
      <c r="I297" s="512">
        <f>+J271*G297+E297</f>
        <v>117360.60973908896</v>
      </c>
      <c r="J297" s="509">
        <f t="shared" si="26"/>
        <v>0</v>
      </c>
      <c r="K297" s="509"/>
      <c r="L297" s="513"/>
      <c r="M297" s="509">
        <f t="shared" si="27"/>
        <v>0</v>
      </c>
      <c r="N297" s="513"/>
      <c r="O297" s="509">
        <f t="shared" si="28"/>
        <v>0</v>
      </c>
      <c r="P297" s="509">
        <f t="shared" si="29"/>
        <v>0</v>
      </c>
      <c r="Q297" s="471"/>
    </row>
    <row r="298" spans="3:17">
      <c r="C298" s="505">
        <f>IF(D269="","-",+C297+1)</f>
        <v>2036</v>
      </c>
      <c r="D298" s="469">
        <f t="shared" si="30"/>
        <v>572229.48714285751</v>
      </c>
      <c r="E298" s="511">
        <f t="shared" si="31"/>
        <v>29345.101904761905</v>
      </c>
      <c r="F298" s="511">
        <f t="shared" si="24"/>
        <v>542884.38523809565</v>
      </c>
      <c r="G298" s="469">
        <f t="shared" si="25"/>
        <v>557556.93619047664</v>
      </c>
      <c r="H298" s="506">
        <f>+J270*G298+E298</f>
        <v>112959.83434737264</v>
      </c>
      <c r="I298" s="512">
        <f>+J271*G298+E298</f>
        <v>112959.83434737264</v>
      </c>
      <c r="J298" s="509">
        <f t="shared" si="26"/>
        <v>0</v>
      </c>
      <c r="K298" s="509"/>
      <c r="L298" s="513"/>
      <c r="M298" s="509">
        <f t="shared" si="27"/>
        <v>0</v>
      </c>
      <c r="N298" s="513"/>
      <c r="O298" s="509">
        <f t="shared" si="28"/>
        <v>0</v>
      </c>
      <c r="P298" s="509">
        <f t="shared" si="29"/>
        <v>0</v>
      </c>
      <c r="Q298" s="471"/>
    </row>
    <row r="299" spans="3:17">
      <c r="C299" s="505">
        <f>IF(D269="","-",+C298+1)</f>
        <v>2037</v>
      </c>
      <c r="D299" s="469">
        <f t="shared" si="30"/>
        <v>542884.38523809565</v>
      </c>
      <c r="E299" s="511">
        <f t="shared" si="31"/>
        <v>29345.101904761905</v>
      </c>
      <c r="F299" s="511">
        <f t="shared" si="24"/>
        <v>513539.28333333373</v>
      </c>
      <c r="G299" s="469">
        <f t="shared" si="25"/>
        <v>528211.83428571466</v>
      </c>
      <c r="H299" s="506">
        <f>+J270*G299+E299</f>
        <v>108559.05895565628</v>
      </c>
      <c r="I299" s="512">
        <f>+J271*G299+E299</f>
        <v>108559.05895565628</v>
      </c>
      <c r="J299" s="509">
        <f t="shared" si="26"/>
        <v>0</v>
      </c>
      <c r="K299" s="509"/>
      <c r="L299" s="513"/>
      <c r="M299" s="509">
        <f t="shared" si="27"/>
        <v>0</v>
      </c>
      <c r="N299" s="513"/>
      <c r="O299" s="509">
        <f t="shared" si="28"/>
        <v>0</v>
      </c>
      <c r="P299" s="509">
        <f t="shared" si="29"/>
        <v>0</v>
      </c>
      <c r="Q299" s="471"/>
    </row>
    <row r="300" spans="3:17">
      <c r="C300" s="505">
        <f>IF(D269="","-",+C299+1)</f>
        <v>2038</v>
      </c>
      <c r="D300" s="469">
        <f t="shared" si="30"/>
        <v>513539.28333333373</v>
      </c>
      <c r="E300" s="511">
        <f t="shared" si="31"/>
        <v>29345.101904761905</v>
      </c>
      <c r="F300" s="511">
        <f t="shared" si="24"/>
        <v>484194.18142857181</v>
      </c>
      <c r="G300" s="469">
        <f t="shared" si="25"/>
        <v>498866.7323809528</v>
      </c>
      <c r="H300" s="506">
        <f>+J270*G300+E300</f>
        <v>104158.28356393993</v>
      </c>
      <c r="I300" s="512">
        <f>+J271*G300+E300</f>
        <v>104158.28356393993</v>
      </c>
      <c r="J300" s="509">
        <f t="shared" si="26"/>
        <v>0</v>
      </c>
      <c r="K300" s="509"/>
      <c r="L300" s="513"/>
      <c r="M300" s="509">
        <f t="shared" si="27"/>
        <v>0</v>
      </c>
      <c r="N300" s="513"/>
      <c r="O300" s="509">
        <f t="shared" si="28"/>
        <v>0</v>
      </c>
      <c r="P300" s="509">
        <f t="shared" si="29"/>
        <v>0</v>
      </c>
      <c r="Q300" s="471"/>
    </row>
    <row r="301" spans="3:17">
      <c r="C301" s="505">
        <f>IF(D269="","-",+C300+1)</f>
        <v>2039</v>
      </c>
      <c r="D301" s="469">
        <f t="shared" si="30"/>
        <v>484194.18142857181</v>
      </c>
      <c r="E301" s="511">
        <f t="shared" si="31"/>
        <v>29345.101904761905</v>
      </c>
      <c r="F301" s="511">
        <f t="shared" si="24"/>
        <v>454849.07952380989</v>
      </c>
      <c r="G301" s="469">
        <f t="shared" si="25"/>
        <v>469521.63047619082</v>
      </c>
      <c r="H301" s="506">
        <f>+J270*G301+E301</f>
        <v>99757.508172223563</v>
      </c>
      <c r="I301" s="512">
        <f>+J271*G301+E301</f>
        <v>99757.508172223563</v>
      </c>
      <c r="J301" s="509">
        <f t="shared" si="26"/>
        <v>0</v>
      </c>
      <c r="K301" s="509"/>
      <c r="L301" s="513"/>
      <c r="M301" s="509">
        <f t="shared" si="27"/>
        <v>0</v>
      </c>
      <c r="N301" s="513"/>
      <c r="O301" s="509">
        <f t="shared" si="28"/>
        <v>0</v>
      </c>
      <c r="P301" s="509">
        <f t="shared" si="29"/>
        <v>0</v>
      </c>
      <c r="Q301" s="471"/>
    </row>
    <row r="302" spans="3:17">
      <c r="C302" s="505">
        <f>IF(D269="","-",+C301+1)</f>
        <v>2040</v>
      </c>
      <c r="D302" s="469">
        <f t="shared" si="30"/>
        <v>454849.07952380989</v>
      </c>
      <c r="E302" s="511">
        <f t="shared" si="31"/>
        <v>29345.101904761905</v>
      </c>
      <c r="F302" s="511">
        <f t="shared" si="24"/>
        <v>425503.97761904798</v>
      </c>
      <c r="G302" s="469">
        <f t="shared" si="25"/>
        <v>440176.52857142896</v>
      </c>
      <c r="H302" s="506">
        <f>+J270*G302+E302</f>
        <v>95356.732780507227</v>
      </c>
      <c r="I302" s="512">
        <f>+J271*G302+E302</f>
        <v>95356.732780507227</v>
      </c>
      <c r="J302" s="509">
        <f t="shared" si="26"/>
        <v>0</v>
      </c>
      <c r="K302" s="509"/>
      <c r="L302" s="513"/>
      <c r="M302" s="509">
        <f t="shared" si="27"/>
        <v>0</v>
      </c>
      <c r="N302" s="513"/>
      <c r="O302" s="509">
        <f t="shared" si="28"/>
        <v>0</v>
      </c>
      <c r="P302" s="509">
        <f t="shared" si="29"/>
        <v>0</v>
      </c>
      <c r="Q302" s="471"/>
    </row>
    <row r="303" spans="3:17">
      <c r="C303" s="505">
        <f>IF(D269="","-",+C302+1)</f>
        <v>2041</v>
      </c>
      <c r="D303" s="469">
        <f t="shared" si="30"/>
        <v>425503.97761904798</v>
      </c>
      <c r="E303" s="511">
        <f t="shared" si="31"/>
        <v>29345.101904761905</v>
      </c>
      <c r="F303" s="511">
        <f t="shared" si="24"/>
        <v>396158.87571428606</v>
      </c>
      <c r="G303" s="469">
        <f t="shared" si="25"/>
        <v>410831.42666666699</v>
      </c>
      <c r="H303" s="506">
        <f>+J270*G303+E303</f>
        <v>90955.957388790863</v>
      </c>
      <c r="I303" s="512">
        <f>+J271*G303+E303</f>
        <v>90955.957388790863</v>
      </c>
      <c r="J303" s="509">
        <f t="shared" si="26"/>
        <v>0</v>
      </c>
      <c r="K303" s="509"/>
      <c r="L303" s="513"/>
      <c r="M303" s="509">
        <f t="shared" si="27"/>
        <v>0</v>
      </c>
      <c r="N303" s="513"/>
      <c r="O303" s="509">
        <f t="shared" si="28"/>
        <v>0</v>
      </c>
      <c r="P303" s="509">
        <f t="shared" si="29"/>
        <v>0</v>
      </c>
      <c r="Q303" s="471"/>
    </row>
    <row r="304" spans="3:17">
      <c r="C304" s="505">
        <f>IF(D269="","-",+C303+1)</f>
        <v>2042</v>
      </c>
      <c r="D304" s="469">
        <f t="shared" si="30"/>
        <v>396158.87571428606</v>
      </c>
      <c r="E304" s="511">
        <f t="shared" si="31"/>
        <v>29345.101904761905</v>
      </c>
      <c r="F304" s="511">
        <f t="shared" si="24"/>
        <v>366813.77380952414</v>
      </c>
      <c r="G304" s="469">
        <f t="shared" si="25"/>
        <v>381486.32476190513</v>
      </c>
      <c r="H304" s="506">
        <f>+J270*G304+E304</f>
        <v>86555.181997074513</v>
      </c>
      <c r="I304" s="512">
        <f>+J271*G304+E304</f>
        <v>86555.181997074513</v>
      </c>
      <c r="J304" s="509">
        <f t="shared" si="26"/>
        <v>0</v>
      </c>
      <c r="K304" s="509"/>
      <c r="L304" s="513"/>
      <c r="M304" s="509">
        <f t="shared" si="27"/>
        <v>0</v>
      </c>
      <c r="N304" s="513"/>
      <c r="O304" s="509">
        <f t="shared" si="28"/>
        <v>0</v>
      </c>
      <c r="P304" s="509">
        <f t="shared" si="29"/>
        <v>0</v>
      </c>
      <c r="Q304" s="471"/>
    </row>
    <row r="305" spans="3:17">
      <c r="C305" s="505">
        <f>IF(D269="","-",+C304+1)</f>
        <v>2043</v>
      </c>
      <c r="D305" s="469">
        <f t="shared" si="30"/>
        <v>366813.77380952414</v>
      </c>
      <c r="E305" s="511">
        <f t="shared" si="31"/>
        <v>29345.101904761905</v>
      </c>
      <c r="F305" s="511">
        <f t="shared" si="24"/>
        <v>337468.67190476222</v>
      </c>
      <c r="G305" s="469">
        <f t="shared" si="25"/>
        <v>352141.22285714315</v>
      </c>
      <c r="H305" s="506">
        <f>+J270*G305+E305</f>
        <v>82154.406605358148</v>
      </c>
      <c r="I305" s="512">
        <f>+J271*G305+E305</f>
        <v>82154.406605358148</v>
      </c>
      <c r="J305" s="509">
        <f t="shared" si="26"/>
        <v>0</v>
      </c>
      <c r="K305" s="509"/>
      <c r="L305" s="513"/>
      <c r="M305" s="509">
        <f t="shared" si="27"/>
        <v>0</v>
      </c>
      <c r="N305" s="513"/>
      <c r="O305" s="509">
        <f t="shared" si="28"/>
        <v>0</v>
      </c>
      <c r="P305" s="509">
        <f t="shared" si="29"/>
        <v>0</v>
      </c>
      <c r="Q305" s="471"/>
    </row>
    <row r="306" spans="3:17">
      <c r="C306" s="505">
        <f>IF(D269="","-",+C305+1)</f>
        <v>2044</v>
      </c>
      <c r="D306" s="469">
        <f t="shared" si="30"/>
        <v>337468.67190476222</v>
      </c>
      <c r="E306" s="511">
        <f t="shared" si="31"/>
        <v>29345.101904761905</v>
      </c>
      <c r="F306" s="511">
        <f t="shared" si="24"/>
        <v>308123.5700000003</v>
      </c>
      <c r="G306" s="469">
        <f t="shared" si="25"/>
        <v>322796.12095238129</v>
      </c>
      <c r="H306" s="506">
        <f>+J270*G306+E306</f>
        <v>77753.631213641813</v>
      </c>
      <c r="I306" s="512">
        <f>+J271*G306+E306</f>
        <v>77753.631213641813</v>
      </c>
      <c r="J306" s="509">
        <f t="shared" si="26"/>
        <v>0</v>
      </c>
      <c r="K306" s="509"/>
      <c r="L306" s="513"/>
      <c r="M306" s="509">
        <f t="shared" si="27"/>
        <v>0</v>
      </c>
      <c r="N306" s="513"/>
      <c r="O306" s="509">
        <f t="shared" si="28"/>
        <v>0</v>
      </c>
      <c r="P306" s="509">
        <f t="shared" si="29"/>
        <v>0</v>
      </c>
      <c r="Q306" s="471"/>
    </row>
    <row r="307" spans="3:17">
      <c r="C307" s="505">
        <f>IF(D269="","-",+C306+1)</f>
        <v>2045</v>
      </c>
      <c r="D307" s="469">
        <f t="shared" si="30"/>
        <v>308123.5700000003</v>
      </c>
      <c r="E307" s="511">
        <f t="shared" si="31"/>
        <v>29345.101904761905</v>
      </c>
      <c r="F307" s="511">
        <f t="shared" si="24"/>
        <v>278778.46809523838</v>
      </c>
      <c r="G307" s="469">
        <f t="shared" si="25"/>
        <v>293451.01904761931</v>
      </c>
      <c r="H307" s="506">
        <f>+J270*G307+E307</f>
        <v>73352.855821925448</v>
      </c>
      <c r="I307" s="512">
        <f>+J271*G307+E307</f>
        <v>73352.855821925448</v>
      </c>
      <c r="J307" s="509">
        <f t="shared" si="26"/>
        <v>0</v>
      </c>
      <c r="K307" s="509"/>
      <c r="L307" s="513"/>
      <c r="M307" s="509">
        <f t="shared" si="27"/>
        <v>0</v>
      </c>
      <c r="N307" s="513"/>
      <c r="O307" s="509">
        <f t="shared" si="28"/>
        <v>0</v>
      </c>
      <c r="P307" s="509">
        <f t="shared" si="29"/>
        <v>0</v>
      </c>
      <c r="Q307" s="471"/>
    </row>
    <row r="308" spans="3:17">
      <c r="C308" s="505">
        <f>IF(D269="","-",+C307+1)</f>
        <v>2046</v>
      </c>
      <c r="D308" s="469">
        <f t="shared" si="30"/>
        <v>278778.46809523838</v>
      </c>
      <c r="E308" s="511">
        <f t="shared" si="31"/>
        <v>29345.101904761905</v>
      </c>
      <c r="F308" s="511">
        <f t="shared" si="24"/>
        <v>249433.36619047646</v>
      </c>
      <c r="G308" s="469">
        <f t="shared" si="25"/>
        <v>264105.91714285745</v>
      </c>
      <c r="H308" s="506">
        <f>+J270*G308+E308</f>
        <v>68952.080430209113</v>
      </c>
      <c r="I308" s="512">
        <f>+J271*G308+E308</f>
        <v>68952.080430209113</v>
      </c>
      <c r="J308" s="509">
        <f t="shared" si="26"/>
        <v>0</v>
      </c>
      <c r="K308" s="509"/>
      <c r="L308" s="513"/>
      <c r="M308" s="509">
        <f t="shared" si="27"/>
        <v>0</v>
      </c>
      <c r="N308" s="513"/>
      <c r="O308" s="509">
        <f t="shared" si="28"/>
        <v>0</v>
      </c>
      <c r="P308" s="509">
        <f t="shared" si="29"/>
        <v>0</v>
      </c>
      <c r="Q308" s="471"/>
    </row>
    <row r="309" spans="3:17">
      <c r="C309" s="505">
        <f>IF(D269="","-",+C308+1)</f>
        <v>2047</v>
      </c>
      <c r="D309" s="469">
        <f t="shared" si="30"/>
        <v>249433.36619047646</v>
      </c>
      <c r="E309" s="511">
        <f t="shared" si="31"/>
        <v>29345.101904761905</v>
      </c>
      <c r="F309" s="511">
        <f t="shared" si="24"/>
        <v>220088.26428571454</v>
      </c>
      <c r="G309" s="469">
        <f t="shared" si="25"/>
        <v>234760.8152380955</v>
      </c>
      <c r="H309" s="506">
        <f>+J270*G309+E309</f>
        <v>64551.305038492748</v>
      </c>
      <c r="I309" s="512">
        <f>+J271*G309+E309</f>
        <v>64551.305038492748</v>
      </c>
      <c r="J309" s="509">
        <f t="shared" si="26"/>
        <v>0</v>
      </c>
      <c r="K309" s="509"/>
      <c r="L309" s="513"/>
      <c r="M309" s="509">
        <f t="shared" si="27"/>
        <v>0</v>
      </c>
      <c r="N309" s="513"/>
      <c r="O309" s="509">
        <f t="shared" si="28"/>
        <v>0</v>
      </c>
      <c r="P309" s="509">
        <f t="shared" si="29"/>
        <v>0</v>
      </c>
      <c r="Q309" s="471"/>
    </row>
    <row r="310" spans="3:17">
      <c r="C310" s="505">
        <f>IF(D269="","-",+C309+1)</f>
        <v>2048</v>
      </c>
      <c r="D310" s="469">
        <f t="shared" si="30"/>
        <v>220088.26428571454</v>
      </c>
      <c r="E310" s="511">
        <f t="shared" si="31"/>
        <v>29345.101904761905</v>
      </c>
      <c r="F310" s="511">
        <f t="shared" si="24"/>
        <v>190743.16238095262</v>
      </c>
      <c r="G310" s="469">
        <f t="shared" si="25"/>
        <v>205415.71333333358</v>
      </c>
      <c r="H310" s="506">
        <f>+J270*G310+E310</f>
        <v>60150.529646776398</v>
      </c>
      <c r="I310" s="512">
        <f>+J271*G310+E310</f>
        <v>60150.529646776398</v>
      </c>
      <c r="J310" s="509">
        <f t="shared" si="26"/>
        <v>0</v>
      </c>
      <c r="K310" s="509"/>
      <c r="L310" s="513"/>
      <c r="M310" s="509">
        <f t="shared" si="27"/>
        <v>0</v>
      </c>
      <c r="N310" s="513"/>
      <c r="O310" s="509">
        <f t="shared" si="28"/>
        <v>0</v>
      </c>
      <c r="P310" s="509">
        <f t="shared" si="29"/>
        <v>0</v>
      </c>
      <c r="Q310" s="471"/>
    </row>
    <row r="311" spans="3:17">
      <c r="C311" s="505">
        <f>IF(D269="","-",+C310+1)</f>
        <v>2049</v>
      </c>
      <c r="D311" s="469">
        <f t="shared" si="30"/>
        <v>190743.16238095262</v>
      </c>
      <c r="E311" s="511">
        <f t="shared" si="31"/>
        <v>29345.101904761905</v>
      </c>
      <c r="F311" s="511">
        <f t="shared" si="24"/>
        <v>161398.0604761907</v>
      </c>
      <c r="G311" s="469">
        <f t="shared" si="25"/>
        <v>176070.61142857166</v>
      </c>
      <c r="H311" s="506">
        <f>+J270*G311+E311</f>
        <v>55749.754255060048</v>
      </c>
      <c r="I311" s="512">
        <f>+J271*G311+E311</f>
        <v>55749.754255060048</v>
      </c>
      <c r="J311" s="509">
        <f t="shared" si="26"/>
        <v>0</v>
      </c>
      <c r="K311" s="509"/>
      <c r="L311" s="513"/>
      <c r="M311" s="509">
        <f t="shared" si="27"/>
        <v>0</v>
      </c>
      <c r="N311" s="513"/>
      <c r="O311" s="509">
        <f t="shared" si="28"/>
        <v>0</v>
      </c>
      <c r="P311" s="509">
        <f t="shared" si="29"/>
        <v>0</v>
      </c>
      <c r="Q311" s="471"/>
    </row>
    <row r="312" spans="3:17">
      <c r="C312" s="505">
        <f>IF(D269="","-",+C311+1)</f>
        <v>2050</v>
      </c>
      <c r="D312" s="469">
        <f t="shared" si="30"/>
        <v>161398.0604761907</v>
      </c>
      <c r="E312" s="511">
        <f t="shared" si="31"/>
        <v>29345.101904761905</v>
      </c>
      <c r="F312" s="511">
        <f t="shared" si="24"/>
        <v>132052.95857142878</v>
      </c>
      <c r="G312" s="469">
        <f t="shared" si="25"/>
        <v>146725.50952380974</v>
      </c>
      <c r="H312" s="506">
        <f>+J270*G312+E312</f>
        <v>51348.978863343691</v>
      </c>
      <c r="I312" s="512">
        <f>+J271*G312+E312</f>
        <v>51348.978863343691</v>
      </c>
      <c r="J312" s="509">
        <f t="shared" si="26"/>
        <v>0</v>
      </c>
      <c r="K312" s="509"/>
      <c r="L312" s="513"/>
      <c r="M312" s="509">
        <f t="shared" si="27"/>
        <v>0</v>
      </c>
      <c r="N312" s="513"/>
      <c r="O312" s="509">
        <f t="shared" si="28"/>
        <v>0</v>
      </c>
      <c r="P312" s="509">
        <f t="shared" si="29"/>
        <v>0</v>
      </c>
      <c r="Q312" s="471"/>
    </row>
    <row r="313" spans="3:17">
      <c r="C313" s="505">
        <f>IF(D269="","-",+C312+1)</f>
        <v>2051</v>
      </c>
      <c r="D313" s="469">
        <f t="shared" si="30"/>
        <v>132052.95857142878</v>
      </c>
      <c r="E313" s="511">
        <f t="shared" si="31"/>
        <v>29345.101904761905</v>
      </c>
      <c r="F313" s="511">
        <f t="shared" si="24"/>
        <v>102707.85666666688</v>
      </c>
      <c r="G313" s="469">
        <f t="shared" si="25"/>
        <v>117380.40761904782</v>
      </c>
      <c r="H313" s="506">
        <f>+J270*G313+E313</f>
        <v>46948.203471627334</v>
      </c>
      <c r="I313" s="512">
        <f>+J271*G313+E313</f>
        <v>46948.203471627334</v>
      </c>
      <c r="J313" s="509">
        <f t="shared" si="26"/>
        <v>0</v>
      </c>
      <c r="K313" s="509"/>
      <c r="L313" s="513"/>
      <c r="M313" s="509">
        <f t="shared" si="27"/>
        <v>0</v>
      </c>
      <c r="N313" s="513"/>
      <c r="O313" s="509">
        <f t="shared" si="28"/>
        <v>0</v>
      </c>
      <c r="P313" s="509">
        <f t="shared" si="29"/>
        <v>0</v>
      </c>
      <c r="Q313" s="471"/>
    </row>
    <row r="314" spans="3:17">
      <c r="C314" s="505">
        <f>IF(D269="","-",+C313+1)</f>
        <v>2052</v>
      </c>
      <c r="D314" s="469">
        <f t="shared" si="30"/>
        <v>102707.85666666688</v>
      </c>
      <c r="E314" s="511">
        <f t="shared" si="31"/>
        <v>29345.101904761905</v>
      </c>
      <c r="F314" s="511">
        <f t="shared" si="24"/>
        <v>73362.754761904973</v>
      </c>
      <c r="G314" s="469">
        <f t="shared" si="25"/>
        <v>88035.305714285932</v>
      </c>
      <c r="H314" s="506">
        <f>+J270*G314+E314</f>
        <v>42547.428079910991</v>
      </c>
      <c r="I314" s="512">
        <f>+J271*G314+E314</f>
        <v>42547.428079910991</v>
      </c>
      <c r="J314" s="509">
        <f t="shared" si="26"/>
        <v>0</v>
      </c>
      <c r="K314" s="509"/>
      <c r="L314" s="513"/>
      <c r="M314" s="509">
        <f t="shared" si="27"/>
        <v>0</v>
      </c>
      <c r="N314" s="513"/>
      <c r="O314" s="509">
        <f t="shared" si="28"/>
        <v>0</v>
      </c>
      <c r="P314" s="509">
        <f t="shared" si="29"/>
        <v>0</v>
      </c>
      <c r="Q314" s="471"/>
    </row>
    <row r="315" spans="3:17">
      <c r="C315" s="505">
        <f>IF(D269="","-",+C314+1)</f>
        <v>2053</v>
      </c>
      <c r="D315" s="469">
        <f t="shared" si="30"/>
        <v>73362.754761904973</v>
      </c>
      <c r="E315" s="511">
        <f t="shared" si="31"/>
        <v>29345.101904761905</v>
      </c>
      <c r="F315" s="511">
        <f t="shared" si="24"/>
        <v>44017.652857143068</v>
      </c>
      <c r="G315" s="469">
        <f t="shared" si="25"/>
        <v>58690.20380952402</v>
      </c>
      <c r="H315" s="506">
        <f>+J270*G315+E315</f>
        <v>38146.652688194634</v>
      </c>
      <c r="I315" s="512">
        <f>+J271*G315+E315</f>
        <v>38146.652688194634</v>
      </c>
      <c r="J315" s="509">
        <f t="shared" si="26"/>
        <v>0</v>
      </c>
      <c r="K315" s="509"/>
      <c r="L315" s="513"/>
      <c r="M315" s="509">
        <f t="shared" si="27"/>
        <v>0</v>
      </c>
      <c r="N315" s="513"/>
      <c r="O315" s="509">
        <f t="shared" si="28"/>
        <v>0</v>
      </c>
      <c r="P315" s="509">
        <f t="shared" si="29"/>
        <v>0</v>
      </c>
      <c r="Q315" s="471"/>
    </row>
    <row r="316" spans="3:17">
      <c r="C316" s="505">
        <f>IF(D269="","-",+C315+1)</f>
        <v>2054</v>
      </c>
      <c r="D316" s="469">
        <f t="shared" si="30"/>
        <v>44017.652857143068</v>
      </c>
      <c r="E316" s="511">
        <f t="shared" si="31"/>
        <v>29345.101904761905</v>
      </c>
      <c r="F316" s="511">
        <f t="shared" si="24"/>
        <v>14672.550952381163</v>
      </c>
      <c r="G316" s="469">
        <f t="shared" si="25"/>
        <v>29345.101904762116</v>
      </c>
      <c r="H316" s="506">
        <f>+J270*G316+E316</f>
        <v>33745.877296478284</v>
      </c>
      <c r="I316" s="512">
        <f>+J271*G316+E316</f>
        <v>33745.877296478284</v>
      </c>
      <c r="J316" s="509">
        <f t="shared" si="26"/>
        <v>0</v>
      </c>
      <c r="K316" s="509"/>
      <c r="L316" s="513"/>
      <c r="M316" s="509">
        <f t="shared" si="27"/>
        <v>0</v>
      </c>
      <c r="N316" s="513"/>
      <c r="O316" s="509">
        <f t="shared" si="28"/>
        <v>0</v>
      </c>
      <c r="P316" s="509">
        <f t="shared" si="29"/>
        <v>0</v>
      </c>
      <c r="Q316" s="471"/>
    </row>
    <row r="317" spans="3:17">
      <c r="C317" s="505">
        <f>IF(D269="","-",+C316+1)</f>
        <v>2055</v>
      </c>
      <c r="D317" s="469">
        <f t="shared" si="30"/>
        <v>14672.550952381163</v>
      </c>
      <c r="E317" s="511">
        <f t="shared" si="31"/>
        <v>14672.550952381163</v>
      </c>
      <c r="F317" s="511">
        <f t="shared" si="24"/>
        <v>0</v>
      </c>
      <c r="G317" s="469">
        <f t="shared" si="25"/>
        <v>7336.2754761905817</v>
      </c>
      <c r="H317" s="506">
        <f>+J270*G317+E317</f>
        <v>15772.744800310267</v>
      </c>
      <c r="I317" s="512">
        <f>+J271*G317+E317</f>
        <v>15772.744800310267</v>
      </c>
      <c r="J317" s="509">
        <f t="shared" si="26"/>
        <v>0</v>
      </c>
      <c r="K317" s="509"/>
      <c r="L317" s="513"/>
      <c r="M317" s="509">
        <f t="shared" si="27"/>
        <v>0</v>
      </c>
      <c r="N317" s="513"/>
      <c r="O317" s="509">
        <f t="shared" si="28"/>
        <v>0</v>
      </c>
      <c r="P317" s="509">
        <f t="shared" si="29"/>
        <v>0</v>
      </c>
      <c r="Q317" s="471"/>
    </row>
    <row r="318" spans="3:17">
      <c r="C318" s="505">
        <f>IF(D269="","-",+C317+1)</f>
        <v>2056</v>
      </c>
      <c r="D318" s="469">
        <f t="shared" si="30"/>
        <v>0</v>
      </c>
      <c r="E318" s="511">
        <f t="shared" si="31"/>
        <v>0</v>
      </c>
      <c r="F318" s="511">
        <f t="shared" si="24"/>
        <v>0</v>
      </c>
      <c r="G318" s="469">
        <f t="shared" si="25"/>
        <v>0</v>
      </c>
      <c r="H318" s="506">
        <f>+J270*G318+E318</f>
        <v>0</v>
      </c>
      <c r="I318" s="512">
        <f>+J271*G318+E318</f>
        <v>0</v>
      </c>
      <c r="J318" s="509">
        <f t="shared" si="26"/>
        <v>0</v>
      </c>
      <c r="K318" s="509"/>
      <c r="L318" s="513"/>
      <c r="M318" s="509">
        <f t="shared" si="27"/>
        <v>0</v>
      </c>
      <c r="N318" s="513"/>
      <c r="O318" s="509">
        <f t="shared" si="28"/>
        <v>0</v>
      </c>
      <c r="P318" s="509">
        <f t="shared" si="29"/>
        <v>0</v>
      </c>
      <c r="Q318" s="471"/>
    </row>
    <row r="319" spans="3:17">
      <c r="C319" s="505">
        <f>IF(D269="","-",+C318+1)</f>
        <v>2057</v>
      </c>
      <c r="D319" s="469">
        <f t="shared" si="30"/>
        <v>0</v>
      </c>
      <c r="E319" s="511">
        <f t="shared" si="31"/>
        <v>0</v>
      </c>
      <c r="F319" s="511">
        <f t="shared" si="24"/>
        <v>0</v>
      </c>
      <c r="G319" s="469">
        <f t="shared" si="25"/>
        <v>0</v>
      </c>
      <c r="H319" s="506">
        <f>+J270*G319+E319</f>
        <v>0</v>
      </c>
      <c r="I319" s="512">
        <f>+J271*G319+E319</f>
        <v>0</v>
      </c>
      <c r="J319" s="509">
        <f t="shared" si="26"/>
        <v>0</v>
      </c>
      <c r="K319" s="509"/>
      <c r="L319" s="513"/>
      <c r="M319" s="509">
        <f t="shared" si="27"/>
        <v>0</v>
      </c>
      <c r="N319" s="513"/>
      <c r="O319" s="509">
        <f t="shared" si="28"/>
        <v>0</v>
      </c>
      <c r="P319" s="509">
        <f t="shared" si="29"/>
        <v>0</v>
      </c>
      <c r="Q319" s="471"/>
    </row>
    <row r="320" spans="3:17">
      <c r="C320" s="505">
        <f>IF(D269="","-",+C319+1)</f>
        <v>2058</v>
      </c>
      <c r="D320" s="469">
        <f t="shared" si="30"/>
        <v>0</v>
      </c>
      <c r="E320" s="511">
        <f t="shared" si="31"/>
        <v>0</v>
      </c>
      <c r="F320" s="511">
        <f t="shared" si="24"/>
        <v>0</v>
      </c>
      <c r="G320" s="469">
        <f t="shared" si="25"/>
        <v>0</v>
      </c>
      <c r="H320" s="506">
        <f>+J270*G320+E320</f>
        <v>0</v>
      </c>
      <c r="I320" s="512">
        <f>+J271*G320+E320</f>
        <v>0</v>
      </c>
      <c r="J320" s="509">
        <f t="shared" si="26"/>
        <v>0</v>
      </c>
      <c r="K320" s="509"/>
      <c r="L320" s="513"/>
      <c r="M320" s="509">
        <f t="shared" si="27"/>
        <v>0</v>
      </c>
      <c r="N320" s="513"/>
      <c r="O320" s="509">
        <f t="shared" si="28"/>
        <v>0</v>
      </c>
      <c r="P320" s="509">
        <f t="shared" si="29"/>
        <v>0</v>
      </c>
      <c r="Q320" s="471"/>
    </row>
    <row r="321" spans="3:17">
      <c r="C321" s="505">
        <f>IF(D269="","-",+C320+1)</f>
        <v>2059</v>
      </c>
      <c r="D321" s="469">
        <f t="shared" si="30"/>
        <v>0</v>
      </c>
      <c r="E321" s="511">
        <f t="shared" si="31"/>
        <v>0</v>
      </c>
      <c r="F321" s="511">
        <f t="shared" si="24"/>
        <v>0</v>
      </c>
      <c r="G321" s="469">
        <f t="shared" si="25"/>
        <v>0</v>
      </c>
      <c r="H321" s="506">
        <f>+J270*G321+E321</f>
        <v>0</v>
      </c>
      <c r="I321" s="512">
        <f>+J271*G321+E321</f>
        <v>0</v>
      </c>
      <c r="J321" s="509">
        <f t="shared" si="26"/>
        <v>0</v>
      </c>
      <c r="K321" s="509"/>
      <c r="L321" s="513"/>
      <c r="M321" s="509">
        <f t="shared" si="27"/>
        <v>0</v>
      </c>
      <c r="N321" s="513"/>
      <c r="O321" s="509">
        <f t="shared" si="28"/>
        <v>0</v>
      </c>
      <c r="P321" s="509">
        <f t="shared" si="29"/>
        <v>0</v>
      </c>
      <c r="Q321" s="471"/>
    </row>
    <row r="322" spans="3:17">
      <c r="C322" s="505">
        <f>IF(D269="","-",+C321+1)</f>
        <v>2060</v>
      </c>
      <c r="D322" s="469">
        <f t="shared" si="30"/>
        <v>0</v>
      </c>
      <c r="E322" s="511">
        <f t="shared" si="31"/>
        <v>0</v>
      </c>
      <c r="F322" s="511">
        <f t="shared" si="24"/>
        <v>0</v>
      </c>
      <c r="G322" s="469">
        <f t="shared" si="25"/>
        <v>0</v>
      </c>
      <c r="H322" s="506">
        <f>+J270*G322+E322</f>
        <v>0</v>
      </c>
      <c r="I322" s="512">
        <f>+J271*G322+E322</f>
        <v>0</v>
      </c>
      <c r="J322" s="509">
        <f t="shared" si="26"/>
        <v>0</v>
      </c>
      <c r="K322" s="509"/>
      <c r="L322" s="513"/>
      <c r="M322" s="509">
        <f t="shared" si="27"/>
        <v>0</v>
      </c>
      <c r="N322" s="513"/>
      <c r="O322" s="509">
        <f t="shared" si="28"/>
        <v>0</v>
      </c>
      <c r="P322" s="509">
        <f t="shared" si="29"/>
        <v>0</v>
      </c>
      <c r="Q322" s="471"/>
    </row>
    <row r="323" spans="3:17">
      <c r="C323" s="505">
        <f>IF(D269="","-",+C322+1)</f>
        <v>2061</v>
      </c>
      <c r="D323" s="469">
        <f t="shared" si="30"/>
        <v>0</v>
      </c>
      <c r="E323" s="511">
        <f t="shared" si="31"/>
        <v>0</v>
      </c>
      <c r="F323" s="511">
        <f t="shared" si="24"/>
        <v>0</v>
      </c>
      <c r="G323" s="469">
        <f t="shared" si="25"/>
        <v>0</v>
      </c>
      <c r="H323" s="506">
        <f>+J270*G323+E323</f>
        <v>0</v>
      </c>
      <c r="I323" s="512">
        <f>+J271*G323+E323</f>
        <v>0</v>
      </c>
      <c r="J323" s="509">
        <f t="shared" si="26"/>
        <v>0</v>
      </c>
      <c r="K323" s="509"/>
      <c r="L323" s="513"/>
      <c r="M323" s="509">
        <f t="shared" si="27"/>
        <v>0</v>
      </c>
      <c r="N323" s="513"/>
      <c r="O323" s="509">
        <f t="shared" si="28"/>
        <v>0</v>
      </c>
      <c r="P323" s="509">
        <f t="shared" si="29"/>
        <v>0</v>
      </c>
      <c r="Q323" s="471"/>
    </row>
    <row r="324" spans="3:17">
      <c r="C324" s="505">
        <f>IF(D269="","-",+C323+1)</f>
        <v>2062</v>
      </c>
      <c r="D324" s="469">
        <f t="shared" si="30"/>
        <v>0</v>
      </c>
      <c r="E324" s="511">
        <f t="shared" si="31"/>
        <v>0</v>
      </c>
      <c r="F324" s="511">
        <f t="shared" si="24"/>
        <v>0</v>
      </c>
      <c r="G324" s="469">
        <f t="shared" si="25"/>
        <v>0</v>
      </c>
      <c r="H324" s="506">
        <f>+J270*G324+E324</f>
        <v>0</v>
      </c>
      <c r="I324" s="512">
        <f>+J271*G324+E324</f>
        <v>0</v>
      </c>
      <c r="J324" s="509">
        <f t="shared" si="26"/>
        <v>0</v>
      </c>
      <c r="K324" s="509"/>
      <c r="L324" s="513"/>
      <c r="M324" s="509">
        <f t="shared" si="27"/>
        <v>0</v>
      </c>
      <c r="N324" s="513"/>
      <c r="O324" s="509">
        <f t="shared" si="28"/>
        <v>0</v>
      </c>
      <c r="P324" s="509">
        <f t="shared" si="29"/>
        <v>0</v>
      </c>
      <c r="Q324" s="471"/>
    </row>
    <row r="325" spans="3:17">
      <c r="C325" s="505">
        <f>IF(D269="","-",+C324+1)</f>
        <v>2063</v>
      </c>
      <c r="D325" s="469">
        <f t="shared" si="30"/>
        <v>0</v>
      </c>
      <c r="E325" s="511">
        <f t="shared" si="31"/>
        <v>0</v>
      </c>
      <c r="F325" s="511">
        <f t="shared" si="24"/>
        <v>0</v>
      </c>
      <c r="G325" s="469">
        <f t="shared" si="25"/>
        <v>0</v>
      </c>
      <c r="H325" s="506">
        <f>+J270*G325+E325</f>
        <v>0</v>
      </c>
      <c r="I325" s="512">
        <f>+J271*G325+E325</f>
        <v>0</v>
      </c>
      <c r="J325" s="509">
        <f t="shared" si="26"/>
        <v>0</v>
      </c>
      <c r="K325" s="509"/>
      <c r="L325" s="513"/>
      <c r="M325" s="509">
        <f t="shared" si="27"/>
        <v>0</v>
      </c>
      <c r="N325" s="513"/>
      <c r="O325" s="509">
        <f t="shared" si="28"/>
        <v>0</v>
      </c>
      <c r="P325" s="509">
        <f t="shared" si="29"/>
        <v>0</v>
      </c>
      <c r="Q325" s="471"/>
    </row>
    <row r="326" spans="3:17">
      <c r="C326" s="505">
        <f>IF(D269="","-",+C325+1)</f>
        <v>2064</v>
      </c>
      <c r="D326" s="469">
        <f t="shared" si="30"/>
        <v>0</v>
      </c>
      <c r="E326" s="511">
        <f t="shared" si="31"/>
        <v>0</v>
      </c>
      <c r="F326" s="511">
        <f t="shared" si="24"/>
        <v>0</v>
      </c>
      <c r="G326" s="469">
        <f t="shared" si="25"/>
        <v>0</v>
      </c>
      <c r="H326" s="506">
        <f>+J270*G326+E326</f>
        <v>0</v>
      </c>
      <c r="I326" s="512">
        <f>+J271*G326+E326</f>
        <v>0</v>
      </c>
      <c r="J326" s="509">
        <f t="shared" si="26"/>
        <v>0</v>
      </c>
      <c r="K326" s="509"/>
      <c r="L326" s="513"/>
      <c r="M326" s="509">
        <f t="shared" si="27"/>
        <v>0</v>
      </c>
      <c r="N326" s="513"/>
      <c r="O326" s="509">
        <f t="shared" si="28"/>
        <v>0</v>
      </c>
      <c r="P326" s="509">
        <f t="shared" si="29"/>
        <v>0</v>
      </c>
      <c r="Q326" s="471"/>
    </row>
    <row r="327" spans="3:17">
      <c r="C327" s="505">
        <f>IF(D269="","-",+C326+1)</f>
        <v>2065</v>
      </c>
      <c r="D327" s="469">
        <f t="shared" si="30"/>
        <v>0</v>
      </c>
      <c r="E327" s="511">
        <f t="shared" si="31"/>
        <v>0</v>
      </c>
      <c r="F327" s="511">
        <f t="shared" si="24"/>
        <v>0</v>
      </c>
      <c r="G327" s="469">
        <f t="shared" si="25"/>
        <v>0</v>
      </c>
      <c r="H327" s="506">
        <f>+J270*G327+E327</f>
        <v>0</v>
      </c>
      <c r="I327" s="512">
        <f>+J271*G327+E327</f>
        <v>0</v>
      </c>
      <c r="J327" s="509">
        <f t="shared" si="26"/>
        <v>0</v>
      </c>
      <c r="K327" s="509"/>
      <c r="L327" s="513"/>
      <c r="M327" s="509">
        <f t="shared" si="27"/>
        <v>0</v>
      </c>
      <c r="N327" s="513"/>
      <c r="O327" s="509">
        <f t="shared" si="28"/>
        <v>0</v>
      </c>
      <c r="P327" s="509">
        <f t="shared" si="29"/>
        <v>0</v>
      </c>
      <c r="Q327" s="471"/>
    </row>
    <row r="328" spans="3:17">
      <c r="C328" s="505">
        <f>IF(D269="","-",+C327+1)</f>
        <v>2066</v>
      </c>
      <c r="D328" s="469">
        <f t="shared" si="30"/>
        <v>0</v>
      </c>
      <c r="E328" s="511">
        <f t="shared" si="31"/>
        <v>0</v>
      </c>
      <c r="F328" s="511">
        <f t="shared" si="24"/>
        <v>0</v>
      </c>
      <c r="G328" s="469">
        <f t="shared" si="25"/>
        <v>0</v>
      </c>
      <c r="H328" s="506">
        <f>+J270*G328+E328</f>
        <v>0</v>
      </c>
      <c r="I328" s="512">
        <f>+J271*G328+E328</f>
        <v>0</v>
      </c>
      <c r="J328" s="509">
        <f t="shared" si="26"/>
        <v>0</v>
      </c>
      <c r="K328" s="509"/>
      <c r="L328" s="513"/>
      <c r="M328" s="509">
        <f t="shared" si="27"/>
        <v>0</v>
      </c>
      <c r="N328" s="513"/>
      <c r="O328" s="509">
        <f t="shared" si="28"/>
        <v>0</v>
      </c>
      <c r="P328" s="509">
        <f t="shared" si="29"/>
        <v>0</v>
      </c>
      <c r="Q328" s="471"/>
    </row>
    <row r="329" spans="3:17">
      <c r="C329" s="505">
        <f>IF(D269="","-",+C328+1)</f>
        <v>2067</v>
      </c>
      <c r="D329" s="469">
        <f t="shared" si="30"/>
        <v>0</v>
      </c>
      <c r="E329" s="511">
        <f t="shared" si="31"/>
        <v>0</v>
      </c>
      <c r="F329" s="511">
        <f t="shared" si="24"/>
        <v>0</v>
      </c>
      <c r="G329" s="469">
        <f t="shared" si="25"/>
        <v>0</v>
      </c>
      <c r="H329" s="506">
        <f>+J270*G329+E329</f>
        <v>0</v>
      </c>
      <c r="I329" s="512">
        <f>+J271*G329+E329</f>
        <v>0</v>
      </c>
      <c r="J329" s="509">
        <f t="shared" si="26"/>
        <v>0</v>
      </c>
      <c r="K329" s="509"/>
      <c r="L329" s="513"/>
      <c r="M329" s="509">
        <f t="shared" si="27"/>
        <v>0</v>
      </c>
      <c r="N329" s="513"/>
      <c r="O329" s="509">
        <f t="shared" si="28"/>
        <v>0</v>
      </c>
      <c r="P329" s="509">
        <f t="shared" si="29"/>
        <v>0</v>
      </c>
      <c r="Q329" s="471"/>
    </row>
    <row r="330" spans="3:17">
      <c r="C330" s="505">
        <f>IF(D269="","-",+C329+1)</f>
        <v>2068</v>
      </c>
      <c r="D330" s="469">
        <f t="shared" si="30"/>
        <v>0</v>
      </c>
      <c r="E330" s="511">
        <f t="shared" si="31"/>
        <v>0</v>
      </c>
      <c r="F330" s="511">
        <f t="shared" si="24"/>
        <v>0</v>
      </c>
      <c r="G330" s="469">
        <f t="shared" si="25"/>
        <v>0</v>
      </c>
      <c r="H330" s="506">
        <f>+J270*G330+E330</f>
        <v>0</v>
      </c>
      <c r="I330" s="512">
        <f>+J271*G330+E330</f>
        <v>0</v>
      </c>
      <c r="J330" s="509">
        <f t="shared" si="26"/>
        <v>0</v>
      </c>
      <c r="K330" s="509"/>
      <c r="L330" s="513"/>
      <c r="M330" s="509">
        <f t="shared" si="27"/>
        <v>0</v>
      </c>
      <c r="N330" s="513"/>
      <c r="O330" s="509">
        <f t="shared" si="28"/>
        <v>0</v>
      </c>
      <c r="P330" s="509">
        <f t="shared" si="29"/>
        <v>0</v>
      </c>
      <c r="Q330" s="471"/>
    </row>
    <row r="331" spans="3:17">
      <c r="C331" s="505">
        <f>IF(D269="","-",+C330+1)</f>
        <v>2069</v>
      </c>
      <c r="D331" s="469">
        <f t="shared" si="30"/>
        <v>0</v>
      </c>
      <c r="E331" s="511">
        <f t="shared" si="31"/>
        <v>0</v>
      </c>
      <c r="F331" s="511">
        <f t="shared" si="24"/>
        <v>0</v>
      </c>
      <c r="G331" s="469">
        <f t="shared" si="25"/>
        <v>0</v>
      </c>
      <c r="H331" s="506">
        <f>+J270*G331+E331</f>
        <v>0</v>
      </c>
      <c r="I331" s="512">
        <f>+J271*G331+E331</f>
        <v>0</v>
      </c>
      <c r="J331" s="509">
        <f t="shared" si="26"/>
        <v>0</v>
      </c>
      <c r="K331" s="509"/>
      <c r="L331" s="513"/>
      <c r="M331" s="509">
        <f t="shared" si="27"/>
        <v>0</v>
      </c>
      <c r="N331" s="513"/>
      <c r="O331" s="509">
        <f t="shared" si="28"/>
        <v>0</v>
      </c>
      <c r="P331" s="509">
        <f t="shared" si="29"/>
        <v>0</v>
      </c>
      <c r="Q331" s="471"/>
    </row>
    <row r="332" spans="3:17">
      <c r="C332" s="505">
        <f>IF(D269="","-",+C331+1)</f>
        <v>2070</v>
      </c>
      <c r="D332" s="469">
        <f t="shared" si="30"/>
        <v>0</v>
      </c>
      <c r="E332" s="511">
        <f t="shared" si="31"/>
        <v>0</v>
      </c>
      <c r="F332" s="511">
        <f t="shared" si="24"/>
        <v>0</v>
      </c>
      <c r="G332" s="469">
        <f t="shared" si="25"/>
        <v>0</v>
      </c>
      <c r="H332" s="506">
        <f>+J270*G332+E332</f>
        <v>0</v>
      </c>
      <c r="I332" s="512">
        <f>+J271*G332+E332</f>
        <v>0</v>
      </c>
      <c r="J332" s="509">
        <f t="shared" si="26"/>
        <v>0</v>
      </c>
      <c r="K332" s="509"/>
      <c r="L332" s="513"/>
      <c r="M332" s="509">
        <f t="shared" si="27"/>
        <v>0</v>
      </c>
      <c r="N332" s="513"/>
      <c r="O332" s="509">
        <f t="shared" si="28"/>
        <v>0</v>
      </c>
      <c r="P332" s="509">
        <f t="shared" si="29"/>
        <v>0</v>
      </c>
      <c r="Q332" s="471"/>
    </row>
    <row r="333" spans="3:17">
      <c r="C333" s="505">
        <f>IF(D269="","-",+C332+1)</f>
        <v>2071</v>
      </c>
      <c r="D333" s="469">
        <f t="shared" si="30"/>
        <v>0</v>
      </c>
      <c r="E333" s="511">
        <f t="shared" si="31"/>
        <v>0</v>
      </c>
      <c r="F333" s="511">
        <f t="shared" si="24"/>
        <v>0</v>
      </c>
      <c r="G333" s="469">
        <f t="shared" si="25"/>
        <v>0</v>
      </c>
      <c r="H333" s="506">
        <f>+J270*G333+E333</f>
        <v>0</v>
      </c>
      <c r="I333" s="512">
        <f>+J271*G333+E333</f>
        <v>0</v>
      </c>
      <c r="J333" s="509">
        <f t="shared" si="26"/>
        <v>0</v>
      </c>
      <c r="K333" s="509"/>
      <c r="L333" s="513"/>
      <c r="M333" s="509">
        <f t="shared" si="27"/>
        <v>0</v>
      </c>
      <c r="N333" s="513"/>
      <c r="O333" s="509">
        <f t="shared" si="28"/>
        <v>0</v>
      </c>
      <c r="P333" s="509">
        <f t="shared" si="29"/>
        <v>0</v>
      </c>
      <c r="Q333" s="471"/>
    </row>
    <row r="334" spans="3:17" ht="13.5" thickBot="1">
      <c r="C334" s="515">
        <f>IF(D269="","-",+C333+1)</f>
        <v>2072</v>
      </c>
      <c r="D334" s="516">
        <f t="shared" si="30"/>
        <v>0</v>
      </c>
      <c r="E334" s="511">
        <f t="shared" si="31"/>
        <v>0</v>
      </c>
      <c r="F334" s="517">
        <f t="shared" si="24"/>
        <v>0</v>
      </c>
      <c r="G334" s="516">
        <f t="shared" si="25"/>
        <v>0</v>
      </c>
      <c r="H334" s="518">
        <f>+J270*G334+E334</f>
        <v>0</v>
      </c>
      <c r="I334" s="518">
        <f>+J271*G334+E334</f>
        <v>0</v>
      </c>
      <c r="J334" s="519">
        <f t="shared" si="26"/>
        <v>0</v>
      </c>
      <c r="K334" s="509"/>
      <c r="L334" s="520"/>
      <c r="M334" s="519">
        <f t="shared" si="27"/>
        <v>0</v>
      </c>
      <c r="N334" s="520"/>
      <c r="O334" s="519">
        <f t="shared" si="28"/>
        <v>0</v>
      </c>
      <c r="P334" s="519">
        <f t="shared" si="29"/>
        <v>0</v>
      </c>
      <c r="Q334" s="471"/>
    </row>
    <row r="335" spans="3:17">
      <c r="C335" s="469" t="s">
        <v>288</v>
      </c>
      <c r="D335" s="467"/>
      <c r="E335" s="467">
        <f>SUM(E275:E334)</f>
        <v>1232494.28</v>
      </c>
      <c r="F335" s="467"/>
      <c r="G335" s="467"/>
      <c r="H335" s="467">
        <f>SUM(H275:H334)</f>
        <v>5206394.4587198654</v>
      </c>
      <c r="I335" s="467">
        <f>SUM(I275:I334)</f>
        <v>5206394.4587198654</v>
      </c>
      <c r="J335" s="467">
        <f>SUM(J275:J334)</f>
        <v>0</v>
      </c>
      <c r="K335" s="467"/>
      <c r="L335" s="467"/>
      <c r="M335" s="467"/>
      <c r="N335" s="467"/>
      <c r="O335" s="467"/>
      <c r="Q335" s="467"/>
    </row>
    <row r="336" spans="3:17">
      <c r="D336" s="79"/>
      <c r="E336" s="4"/>
      <c r="F336" s="4"/>
      <c r="G336" s="4"/>
      <c r="H336" s="4"/>
      <c r="I336" s="452"/>
      <c r="J336" s="452"/>
      <c r="K336" s="467"/>
      <c r="L336" s="452"/>
      <c r="M336" s="452"/>
      <c r="N336" s="452"/>
      <c r="O336" s="452"/>
      <c r="Q336" s="467"/>
    </row>
    <row r="337" spans="1:17">
      <c r="C337" s="4" t="s">
        <v>595</v>
      </c>
      <c r="D337" s="79"/>
      <c r="E337" s="4"/>
      <c r="F337" s="4"/>
      <c r="G337" s="4"/>
      <c r="H337" s="4"/>
      <c r="I337" s="452"/>
      <c r="J337" s="452"/>
      <c r="K337" s="467"/>
      <c r="L337" s="452"/>
      <c r="M337" s="452"/>
      <c r="N337" s="452"/>
      <c r="O337" s="452"/>
      <c r="Q337" s="467"/>
    </row>
    <row r="338" spans="1:17">
      <c r="D338" s="79"/>
      <c r="E338" s="4"/>
      <c r="F338" s="4"/>
      <c r="G338" s="4"/>
      <c r="H338" s="4"/>
      <c r="I338" s="452"/>
      <c r="J338" s="452"/>
      <c r="K338" s="467"/>
      <c r="L338" s="452"/>
      <c r="M338" s="452"/>
      <c r="N338" s="452"/>
      <c r="O338" s="452"/>
      <c r="Q338" s="467"/>
    </row>
    <row r="339" spans="1:17">
      <c r="C339" s="4" t="s">
        <v>596</v>
      </c>
      <c r="D339" s="469"/>
      <c r="E339" s="469"/>
      <c r="F339" s="469"/>
      <c r="G339" s="469"/>
      <c r="H339" s="467"/>
      <c r="I339" s="467"/>
      <c r="J339" s="471"/>
      <c r="K339" s="471"/>
      <c r="L339" s="471"/>
      <c r="M339" s="471"/>
      <c r="N339" s="471"/>
      <c r="O339" s="471"/>
      <c r="Q339" s="471"/>
    </row>
    <row r="340" spans="1:17">
      <c r="C340" s="4" t="s">
        <v>476</v>
      </c>
      <c r="D340" s="469"/>
      <c r="E340" s="469"/>
      <c r="F340" s="469"/>
      <c r="G340" s="469"/>
      <c r="H340" s="467"/>
      <c r="I340" s="467"/>
      <c r="J340" s="471"/>
      <c r="K340" s="471"/>
      <c r="L340" s="471"/>
      <c r="M340" s="471"/>
      <c r="N340" s="471"/>
      <c r="O340" s="471"/>
      <c r="Q340" s="471"/>
    </row>
    <row r="341" spans="1:17">
      <c r="C341" s="4" t="s">
        <v>289</v>
      </c>
      <c r="D341" s="469"/>
      <c r="E341" s="469"/>
      <c r="F341" s="469"/>
      <c r="G341" s="469"/>
      <c r="H341" s="467"/>
      <c r="I341" s="467"/>
      <c r="J341" s="471"/>
      <c r="K341" s="471"/>
      <c r="L341" s="471"/>
      <c r="M341" s="471"/>
      <c r="N341" s="471"/>
      <c r="O341" s="471"/>
      <c r="Q341" s="471"/>
    </row>
    <row r="342" spans="1:17" ht="20.25">
      <c r="A342" s="411" t="s">
        <v>762</v>
      </c>
      <c r="B342" s="4"/>
      <c r="C342" s="4"/>
      <c r="D342" s="79"/>
      <c r="E342" s="4"/>
      <c r="F342" s="81"/>
      <c r="G342" s="81"/>
      <c r="H342" s="4"/>
      <c r="I342" s="452"/>
      <c r="L342" s="11"/>
      <c r="M342" s="11"/>
      <c r="N342" s="11"/>
      <c r="O342" s="11" t="str">
        <f>"Page "&amp;SUM(Q$3:Q342)&amp;" of "</f>
        <v xml:space="preserve">Page 5 of </v>
      </c>
      <c r="P342" s="412">
        <f>COUNT(Q$8:Q$58212)</f>
        <v>23</v>
      </c>
      <c r="Q342" s="539">
        <v>1</v>
      </c>
    </row>
    <row r="343" spans="1:17">
      <c r="B343" s="4"/>
      <c r="C343" s="4"/>
      <c r="D343" s="79"/>
      <c r="E343" s="4"/>
      <c r="F343" s="4"/>
      <c r="G343" s="4"/>
      <c r="H343" s="4"/>
      <c r="I343" s="452"/>
      <c r="J343" s="4"/>
      <c r="K343" s="4"/>
    </row>
    <row r="344" spans="1:17" ht="18">
      <c r="B344" s="413" t="s">
        <v>174</v>
      </c>
      <c r="C344" s="472" t="s">
        <v>290</v>
      </c>
      <c r="D344" s="79"/>
      <c r="E344" s="4"/>
      <c r="F344" s="4"/>
      <c r="G344" s="4"/>
      <c r="H344" s="4"/>
      <c r="I344" s="452"/>
      <c r="J344" s="452"/>
      <c r="K344" s="467"/>
      <c r="L344" s="452"/>
      <c r="M344" s="452"/>
      <c r="N344" s="452"/>
      <c r="O344" s="452"/>
      <c r="Q344" s="467"/>
    </row>
    <row r="345" spans="1:17" ht="18.75">
      <c r="B345" s="413"/>
      <c r="C345" s="13"/>
      <c r="D345" s="79"/>
      <c r="E345" s="4"/>
      <c r="F345" s="4"/>
      <c r="G345" s="4"/>
      <c r="H345" s="4"/>
      <c r="I345" s="452"/>
      <c r="J345" s="452"/>
      <c r="K345" s="467"/>
      <c r="L345" s="452"/>
      <c r="M345" s="452"/>
      <c r="N345" s="452"/>
      <c r="O345" s="452"/>
      <c r="Q345" s="467"/>
    </row>
    <row r="346" spans="1:17" ht="18.75">
      <c r="B346" s="413"/>
      <c r="C346" s="13" t="s">
        <v>291</v>
      </c>
      <c r="D346" s="79"/>
      <c r="E346" s="4"/>
      <c r="F346" s="4"/>
      <c r="G346" s="4"/>
      <c r="H346" s="4"/>
      <c r="I346" s="452"/>
      <c r="J346" s="452"/>
      <c r="K346" s="467"/>
      <c r="L346" s="452"/>
      <c r="M346" s="452"/>
      <c r="N346" s="452"/>
      <c r="O346" s="452"/>
      <c r="Q346" s="467"/>
    </row>
    <row r="347" spans="1:17" ht="15.75" thickBot="1">
      <c r="C347" s="247"/>
      <c r="D347" s="79"/>
      <c r="E347" s="4"/>
      <c r="F347" s="4"/>
      <c r="G347" s="4"/>
      <c r="H347" s="4"/>
      <c r="I347" s="452"/>
      <c r="J347" s="452"/>
      <c r="K347" s="467"/>
      <c r="L347" s="452"/>
      <c r="M347" s="452"/>
      <c r="N347" s="452"/>
      <c r="O347" s="452"/>
      <c r="Q347" s="467"/>
    </row>
    <row r="348" spans="1:17" ht="15.75">
      <c r="C348" s="414" t="s">
        <v>292</v>
      </c>
      <c r="D348" s="79"/>
      <c r="E348" s="4"/>
      <c r="F348" s="4"/>
      <c r="G348" s="4"/>
      <c r="H348" s="635"/>
      <c r="I348" s="4" t="s">
        <v>271</v>
      </c>
      <c r="J348" s="4"/>
      <c r="K348" s="4"/>
      <c r="L348" s="540">
        <f>+J354</f>
        <v>2025</v>
      </c>
      <c r="M348" s="524" t="s">
        <v>254</v>
      </c>
      <c r="N348" s="524" t="s">
        <v>255</v>
      </c>
      <c r="O348" s="525" t="s">
        <v>256</v>
      </c>
    </row>
    <row r="349" spans="1:17" ht="15.75">
      <c r="C349" s="414"/>
      <c r="D349" s="79"/>
      <c r="E349" s="4"/>
      <c r="F349" s="4"/>
      <c r="H349" s="4"/>
      <c r="I349" s="476"/>
      <c r="J349" s="476"/>
      <c r="K349" s="477"/>
      <c r="L349" s="541" t="s">
        <v>455</v>
      </c>
      <c r="M349" s="542">
        <f>VLOOKUP(J354,C361:P420,10)</f>
        <v>735960.84490174218</v>
      </c>
      <c r="N349" s="542">
        <f>VLOOKUP(J354,C361:P420,12)</f>
        <v>735960.84490174218</v>
      </c>
      <c r="O349" s="543">
        <f>+N349-M349</f>
        <v>0</v>
      </c>
      <c r="Q349" s="477"/>
    </row>
    <row r="350" spans="1:17">
      <c r="C350" s="479" t="s">
        <v>293</v>
      </c>
      <c r="D350" s="1278" t="s">
        <v>927</v>
      </c>
      <c r="E350" s="1279"/>
      <c r="F350" s="1279"/>
      <c r="G350" s="1279"/>
      <c r="H350" s="1279"/>
      <c r="I350" s="1279"/>
      <c r="J350" s="452"/>
      <c r="K350" s="467"/>
      <c r="L350" s="541" t="s">
        <v>456</v>
      </c>
      <c r="M350" s="544">
        <f>VLOOKUP(J354,C361:P420,6)</f>
        <v>755524.38483860646</v>
      </c>
      <c r="N350" s="544">
        <f>VLOOKUP(J354,C361:P420,7)</f>
        <v>755524.38483860646</v>
      </c>
      <c r="O350" s="545">
        <f>+N350-M350</f>
        <v>0</v>
      </c>
      <c r="Q350" s="467"/>
    </row>
    <row r="351" spans="1:17" ht="13.5" thickBot="1">
      <c r="C351" s="481"/>
      <c r="D351" s="1279"/>
      <c r="E351" s="1279"/>
      <c r="F351" s="1279"/>
      <c r="G351" s="1279"/>
      <c r="H351" s="1279"/>
      <c r="I351" s="1279"/>
      <c r="J351" s="452"/>
      <c r="K351" s="467"/>
      <c r="L351" s="492" t="s">
        <v>457</v>
      </c>
      <c r="M351" s="546">
        <f>+M350-M349</f>
        <v>19563.539936864283</v>
      </c>
      <c r="N351" s="546">
        <f>+N350-N349</f>
        <v>19563.539936864283</v>
      </c>
      <c r="O351" s="547">
        <f>+O350-O349</f>
        <v>0</v>
      </c>
      <c r="Q351" s="467"/>
    </row>
    <row r="352" spans="1:17" ht="13.5" thickBot="1">
      <c r="C352" s="481"/>
      <c r="D352" s="4"/>
      <c r="E352" s="483"/>
      <c r="F352" s="483"/>
      <c r="G352" s="483"/>
      <c r="H352" s="483"/>
      <c r="I352" s="483"/>
      <c r="J352" s="483"/>
      <c r="K352" s="483"/>
      <c r="L352" s="483"/>
      <c r="M352" s="483"/>
      <c r="N352" s="483"/>
      <c r="O352" s="483"/>
      <c r="Q352" s="483"/>
    </row>
    <row r="353" spans="1:17" ht="13.5" thickBot="1">
      <c r="C353" s="484" t="s">
        <v>294</v>
      </c>
      <c r="D353" s="485"/>
      <c r="E353" s="485"/>
      <c r="F353" s="485"/>
      <c r="G353" s="485"/>
      <c r="H353" s="485"/>
      <c r="I353" s="485"/>
      <c r="J353" s="485"/>
      <c r="Q353"/>
    </row>
    <row r="354" spans="1:17" ht="15">
      <c r="A354" s="977"/>
      <c r="C354" s="487" t="s">
        <v>272</v>
      </c>
      <c r="D354" s="926">
        <v>5705686.0099999998</v>
      </c>
      <c r="E354" s="4" t="s">
        <v>273</v>
      </c>
      <c r="H354" s="79"/>
      <c r="I354" s="79"/>
      <c r="J354" s="488">
        <f>$J$95</f>
        <v>2025</v>
      </c>
      <c r="K354" s="135"/>
      <c r="L354" s="1287" t="s">
        <v>274</v>
      </c>
      <c r="M354" s="1287"/>
      <c r="N354" s="1287"/>
      <c r="O354" s="1287"/>
      <c r="Q354" s="135"/>
    </row>
    <row r="355" spans="1:17">
      <c r="A355" s="977"/>
      <c r="C355" s="487" t="s">
        <v>275</v>
      </c>
      <c r="D355" s="644">
        <v>2013</v>
      </c>
      <c r="E355" s="487" t="s">
        <v>276</v>
      </c>
      <c r="F355" s="79"/>
      <c r="G355" s="79"/>
      <c r="I355"/>
      <c r="J355" s="638">
        <v>0</v>
      </c>
      <c r="K355" s="489"/>
      <c r="L355" s="467" t="s">
        <v>475</v>
      </c>
      <c r="Q355" s="489"/>
    </row>
    <row r="356" spans="1:17">
      <c r="A356" s="977"/>
      <c r="C356" s="487" t="s">
        <v>277</v>
      </c>
      <c r="D356" s="952">
        <v>11</v>
      </c>
      <c r="E356" s="487" t="s">
        <v>278</v>
      </c>
      <c r="F356" s="79"/>
      <c r="G356" s="79"/>
      <c r="I356"/>
      <c r="J356" s="490">
        <f>$F$70</f>
        <v>0.14996626714737105</v>
      </c>
      <c r="K356" s="81"/>
      <c r="L356" s="4" t="str">
        <f>"          INPUT TRUE-UP ARR (WITH &amp; WITHOUT INCENTIVES) FROM EACH PRIOR YEAR"</f>
        <v xml:space="preserve">          INPUT TRUE-UP ARR (WITH &amp; WITHOUT INCENTIVES) FROM EACH PRIOR YEAR</v>
      </c>
      <c r="Q356" s="81"/>
    </row>
    <row r="357" spans="1:17">
      <c r="A357" s="977"/>
      <c r="C357" s="487" t="s">
        <v>279</v>
      </c>
      <c r="D357" s="491">
        <f>H79</f>
        <v>42</v>
      </c>
      <c r="E357" s="487" t="s">
        <v>280</v>
      </c>
      <c r="F357" s="79"/>
      <c r="G357" s="79"/>
      <c r="I357"/>
      <c r="J357" s="490">
        <f>IF(H348="",J356,$F$69)</f>
        <v>0.14996626714737105</v>
      </c>
      <c r="K357" s="81"/>
      <c r="L357" s="4" t="s">
        <v>362</v>
      </c>
      <c r="M357" s="81"/>
      <c r="N357" s="81"/>
      <c r="O357" s="81"/>
      <c r="Q357" s="81"/>
    </row>
    <row r="358" spans="1:17" ht="13.5" thickBot="1">
      <c r="A358" s="977"/>
      <c r="C358" s="487" t="s">
        <v>281</v>
      </c>
      <c r="D358" s="637" t="s">
        <v>923</v>
      </c>
      <c r="E358" s="492" t="s">
        <v>282</v>
      </c>
      <c r="F358" s="493"/>
      <c r="G358" s="493"/>
      <c r="H358" s="494"/>
      <c r="I358" s="494"/>
      <c r="J358" s="480">
        <f>IF(D354=0,0,D354/D357)</f>
        <v>135849.66690476189</v>
      </c>
      <c r="K358" s="467"/>
      <c r="L358" s="467" t="s">
        <v>363</v>
      </c>
      <c r="M358" s="467"/>
      <c r="N358" s="467"/>
      <c r="O358" s="467"/>
      <c r="Q358" s="467"/>
    </row>
    <row r="359" spans="1:17" ht="38.25">
      <c r="A359" s="12"/>
      <c r="B359" s="12"/>
      <c r="C359" s="495" t="s">
        <v>272</v>
      </c>
      <c r="D359" s="496" t="s">
        <v>283</v>
      </c>
      <c r="E359" s="497" t="s">
        <v>284</v>
      </c>
      <c r="F359" s="496" t="s">
        <v>285</v>
      </c>
      <c r="G359" s="496" t="s">
        <v>458</v>
      </c>
      <c r="H359" s="497" t="s">
        <v>356</v>
      </c>
      <c r="I359" s="498" t="s">
        <v>356</v>
      </c>
      <c r="J359" s="495" t="s">
        <v>295</v>
      </c>
      <c r="K359" s="499"/>
      <c r="L359" s="497" t="s">
        <v>358</v>
      </c>
      <c r="M359" s="497" t="s">
        <v>364</v>
      </c>
      <c r="N359" s="497" t="s">
        <v>358</v>
      </c>
      <c r="O359" s="497" t="s">
        <v>366</v>
      </c>
      <c r="P359" s="497" t="s">
        <v>286</v>
      </c>
      <c r="Q359" s="128"/>
    </row>
    <row r="360" spans="1:17" ht="13.5" thickBot="1">
      <c r="C360" s="500" t="s">
        <v>177</v>
      </c>
      <c r="D360" s="501" t="s">
        <v>178</v>
      </c>
      <c r="E360" s="500" t="s">
        <v>37</v>
      </c>
      <c r="F360" s="501" t="s">
        <v>178</v>
      </c>
      <c r="G360" s="501" t="s">
        <v>178</v>
      </c>
      <c r="H360" s="502" t="s">
        <v>298</v>
      </c>
      <c r="I360" s="503" t="s">
        <v>300</v>
      </c>
      <c r="J360" s="500" t="s">
        <v>389</v>
      </c>
      <c r="K360" s="504"/>
      <c r="L360" s="502" t="s">
        <v>287</v>
      </c>
      <c r="M360" s="502" t="s">
        <v>287</v>
      </c>
      <c r="N360" s="502" t="s">
        <v>467</v>
      </c>
      <c r="O360" s="502" t="s">
        <v>467</v>
      </c>
      <c r="P360" s="502" t="s">
        <v>467</v>
      </c>
      <c r="Q360" s="135"/>
    </row>
    <row r="361" spans="1:17">
      <c r="C361" s="505">
        <f>IF(D355= "","-",D355)</f>
        <v>2013</v>
      </c>
      <c r="D361" s="469">
        <f>+D354</f>
        <v>5705686.0099999998</v>
      </c>
      <c r="E361" s="506">
        <f>+J358/12*(12-D356)</f>
        <v>11320.805575396824</v>
      </c>
      <c r="F361" s="548">
        <f t="shared" ref="F361:F420" si="32">+D361-E361</f>
        <v>5694365.2044246029</v>
      </c>
      <c r="G361" s="469">
        <f t="shared" ref="G361:G420" si="33">+(D361+F361)/2</f>
        <v>5700025.6072123013</v>
      </c>
      <c r="H361" s="507">
        <f>+J356*G361+E361</f>
        <v>866132.36853345274</v>
      </c>
      <c r="I361" s="508">
        <f>+J357*G361+E361</f>
        <v>866132.36853345274</v>
      </c>
      <c r="J361" s="509">
        <f t="shared" ref="J361:J420" si="34">+I361-H361</f>
        <v>0</v>
      </c>
      <c r="K361" s="509"/>
      <c r="L361" s="513">
        <v>528784</v>
      </c>
      <c r="M361" s="549">
        <f t="shared" ref="M361:M420" si="35">IF(L361&lt;&gt;0,+H361-L361,0)</f>
        <v>337348.36853345274</v>
      </c>
      <c r="N361" s="513">
        <v>528784</v>
      </c>
      <c r="O361" s="549">
        <f t="shared" ref="O361:O420" si="36">IF(N361&lt;&gt;0,+I361-N361,0)</f>
        <v>337348.36853345274</v>
      </c>
      <c r="P361" s="549">
        <f t="shared" ref="P361:P420" si="37">+O361-M361</f>
        <v>0</v>
      </c>
      <c r="Q361" s="471"/>
    </row>
    <row r="362" spans="1:17">
      <c r="C362" s="505">
        <f>IF(D355="","-",+C361+1)</f>
        <v>2014</v>
      </c>
      <c r="D362" s="469">
        <f t="shared" ref="D362:D420" si="38">F361</f>
        <v>5694365.2044246029</v>
      </c>
      <c r="E362" s="511">
        <f>IF(D362&gt;$J$358,$J$358,D362)</f>
        <v>135849.66690476189</v>
      </c>
      <c r="F362" s="511">
        <f t="shared" si="32"/>
        <v>5558515.5375198415</v>
      </c>
      <c r="G362" s="469">
        <f t="shared" si="33"/>
        <v>5626440.3709722217</v>
      </c>
      <c r="H362" s="506">
        <f>+J356*G362+E362</f>
        <v>979625.92666673556</v>
      </c>
      <c r="I362" s="512">
        <f>+J357*G362+E362</f>
        <v>979625.92666673556</v>
      </c>
      <c r="J362" s="509">
        <f t="shared" si="34"/>
        <v>0</v>
      </c>
      <c r="K362" s="509"/>
      <c r="L362" s="513">
        <v>1017894</v>
      </c>
      <c r="M362" s="509">
        <f t="shared" si="35"/>
        <v>-38268.073333264445</v>
      </c>
      <c r="N362" s="513">
        <v>1017894</v>
      </c>
      <c r="O362" s="509">
        <f t="shared" si="36"/>
        <v>-38268.073333264445</v>
      </c>
      <c r="P362" s="509">
        <f t="shared" si="37"/>
        <v>0</v>
      </c>
      <c r="Q362" s="471"/>
    </row>
    <row r="363" spans="1:17">
      <c r="C363" s="505">
        <f>IF(D355="","-",+C362+1)</f>
        <v>2015</v>
      </c>
      <c r="D363" s="469">
        <f t="shared" si="38"/>
        <v>5558515.5375198415</v>
      </c>
      <c r="E363" s="511">
        <f t="shared" ref="E363:E420" si="39">IF(D363&gt;$J$358,$J$358,D363)</f>
        <v>135849.66690476189</v>
      </c>
      <c r="F363" s="511">
        <f t="shared" si="32"/>
        <v>5422665.87061508</v>
      </c>
      <c r="G363" s="469">
        <f t="shared" si="33"/>
        <v>5490590.7040674612</v>
      </c>
      <c r="H363" s="506">
        <f>+J356*G363+E363</f>
        <v>959253.0592278149</v>
      </c>
      <c r="I363" s="512">
        <f>+J357*G363+E363</f>
        <v>959253.0592278149</v>
      </c>
      <c r="J363" s="509">
        <f t="shared" si="34"/>
        <v>0</v>
      </c>
      <c r="K363" s="509"/>
      <c r="L363" s="513">
        <v>953651</v>
      </c>
      <c r="M363" s="509">
        <f t="shared" si="35"/>
        <v>5602.0592278148979</v>
      </c>
      <c r="N363" s="513">
        <v>953651</v>
      </c>
      <c r="O363" s="509">
        <f t="shared" si="36"/>
        <v>5602.0592278148979</v>
      </c>
      <c r="P363" s="509">
        <f t="shared" si="37"/>
        <v>0</v>
      </c>
      <c r="Q363" s="471"/>
    </row>
    <row r="364" spans="1:17">
      <c r="C364" s="505">
        <f>IF(D355="","-",+C363+1)</f>
        <v>2016</v>
      </c>
      <c r="D364" s="469">
        <f t="shared" si="38"/>
        <v>5422665.87061508</v>
      </c>
      <c r="E364" s="511">
        <f t="shared" si="39"/>
        <v>135849.66690476189</v>
      </c>
      <c r="F364" s="511">
        <f t="shared" si="32"/>
        <v>5286816.2037103185</v>
      </c>
      <c r="G364" s="469">
        <f t="shared" si="33"/>
        <v>5354741.0371626988</v>
      </c>
      <c r="H364" s="506">
        <f>+J356*G364+E364</f>
        <v>938880.19178889389</v>
      </c>
      <c r="I364" s="512">
        <f>+J357*G364+E364</f>
        <v>938880.19178889389</v>
      </c>
      <c r="J364" s="509">
        <f t="shared" si="34"/>
        <v>0</v>
      </c>
      <c r="K364" s="509"/>
      <c r="L364" s="513">
        <v>919468</v>
      </c>
      <c r="M364" s="509">
        <f t="shared" si="35"/>
        <v>19412.191788893891</v>
      </c>
      <c r="N364" s="513">
        <v>919468</v>
      </c>
      <c r="O364" s="509">
        <f t="shared" si="36"/>
        <v>19412.191788893891</v>
      </c>
      <c r="P364" s="509">
        <f t="shared" si="37"/>
        <v>0</v>
      </c>
      <c r="Q364" s="471"/>
    </row>
    <row r="365" spans="1:17">
      <c r="C365" s="505">
        <f>IF(D355="","-",+C364+1)</f>
        <v>2017</v>
      </c>
      <c r="D365" s="469">
        <f t="shared" si="38"/>
        <v>5286816.2037103185</v>
      </c>
      <c r="E365" s="511">
        <f t="shared" si="39"/>
        <v>135849.66690476189</v>
      </c>
      <c r="F365" s="511">
        <f t="shared" si="32"/>
        <v>5150966.5368055571</v>
      </c>
      <c r="G365" s="469">
        <f t="shared" si="33"/>
        <v>5218891.3702579383</v>
      </c>
      <c r="H365" s="506">
        <f>+J356*G365+E365</f>
        <v>918507.32434997323</v>
      </c>
      <c r="I365" s="512">
        <f>+J357*G365+E365</f>
        <v>918507.32434997323</v>
      </c>
      <c r="J365" s="509">
        <f t="shared" si="34"/>
        <v>0</v>
      </c>
      <c r="K365" s="509"/>
      <c r="L365" s="513">
        <v>929340</v>
      </c>
      <c r="M365" s="509">
        <f t="shared" si="35"/>
        <v>-10832.675650026766</v>
      </c>
      <c r="N365" s="513">
        <v>929340</v>
      </c>
      <c r="O365" s="509">
        <f t="shared" si="36"/>
        <v>-10832.675650026766</v>
      </c>
      <c r="P365" s="509">
        <f t="shared" si="37"/>
        <v>0</v>
      </c>
      <c r="Q365" s="471"/>
    </row>
    <row r="366" spans="1:17">
      <c r="C366" s="505">
        <f>IF(D355="","-",+C365+1)</f>
        <v>2018</v>
      </c>
      <c r="D366" s="469">
        <f t="shared" si="38"/>
        <v>5150966.5368055571</v>
      </c>
      <c r="E366" s="511">
        <f t="shared" si="39"/>
        <v>135849.66690476189</v>
      </c>
      <c r="F366" s="511">
        <f t="shared" si="32"/>
        <v>5015116.8699007956</v>
      </c>
      <c r="G366" s="469">
        <f t="shared" si="33"/>
        <v>5083041.7033531759</v>
      </c>
      <c r="H366" s="506">
        <f>+J356*G366+E366</f>
        <v>898134.45691105223</v>
      </c>
      <c r="I366" s="512">
        <f>+J357*G366+E366</f>
        <v>898134.45691105223</v>
      </c>
      <c r="J366" s="509">
        <f t="shared" si="34"/>
        <v>0</v>
      </c>
      <c r="K366" s="509"/>
      <c r="L366" s="513">
        <v>902942</v>
      </c>
      <c r="M366" s="509">
        <f t="shared" si="35"/>
        <v>-4807.543088947772</v>
      </c>
      <c r="N366" s="513">
        <v>902942</v>
      </c>
      <c r="O366" s="509">
        <f t="shared" si="36"/>
        <v>-4807.543088947772</v>
      </c>
      <c r="P366" s="509">
        <f t="shared" si="37"/>
        <v>0</v>
      </c>
      <c r="Q366" s="471"/>
    </row>
    <row r="367" spans="1:17">
      <c r="C367" s="505">
        <f>IF(D355="","-",+C366+1)</f>
        <v>2019</v>
      </c>
      <c r="D367" s="941">
        <f t="shared" si="38"/>
        <v>5015116.8699007956</v>
      </c>
      <c r="E367" s="511">
        <f t="shared" si="39"/>
        <v>135849.66690476189</v>
      </c>
      <c r="F367" s="511">
        <f t="shared" si="32"/>
        <v>4879267.2029960342</v>
      </c>
      <c r="G367" s="469">
        <f t="shared" si="33"/>
        <v>4947192.0364484154</v>
      </c>
      <c r="H367" s="506">
        <f>+J356*G367+E367</f>
        <v>877761.58947213157</v>
      </c>
      <c r="I367" s="512">
        <f>+J357*G367+E367</f>
        <v>877761.58947213157</v>
      </c>
      <c r="J367" s="509">
        <f t="shared" si="34"/>
        <v>0</v>
      </c>
      <c r="K367" s="509"/>
      <c r="L367" s="513">
        <v>877873</v>
      </c>
      <c r="M367" s="509">
        <f t="shared" si="35"/>
        <v>-111.4105278684292</v>
      </c>
      <c r="N367" s="513">
        <v>877873</v>
      </c>
      <c r="O367" s="509">
        <f t="shared" si="36"/>
        <v>-111.4105278684292</v>
      </c>
      <c r="P367" s="509">
        <f t="shared" si="37"/>
        <v>0</v>
      </c>
      <c r="Q367" s="471"/>
    </row>
    <row r="368" spans="1:17">
      <c r="C368" s="505">
        <f>IF(D355="","-",+C367+1)</f>
        <v>2020</v>
      </c>
      <c r="D368" s="469">
        <f t="shared" si="38"/>
        <v>4879267.2029960342</v>
      </c>
      <c r="E368" s="511">
        <f t="shared" si="39"/>
        <v>135849.66690476189</v>
      </c>
      <c r="F368" s="511">
        <f t="shared" si="32"/>
        <v>4743417.5360912727</v>
      </c>
      <c r="G368" s="469">
        <f t="shared" si="33"/>
        <v>4811342.369543653</v>
      </c>
      <c r="H368" s="506">
        <f>+J356*G368+E368</f>
        <v>857388.72203321056</v>
      </c>
      <c r="I368" s="512">
        <f>+J357*G368+E368</f>
        <v>857388.72203321056</v>
      </c>
      <c r="J368" s="509">
        <f t="shared" si="34"/>
        <v>0</v>
      </c>
      <c r="K368" s="509"/>
      <c r="L368" s="513">
        <v>845618.23715895414</v>
      </c>
      <c r="M368" s="509">
        <f t="shared" si="35"/>
        <v>11770.484874256421</v>
      </c>
      <c r="N368" s="513">
        <v>845618.23715895414</v>
      </c>
      <c r="O368" s="509">
        <f t="shared" si="36"/>
        <v>11770.484874256421</v>
      </c>
      <c r="P368" s="509">
        <f t="shared" si="37"/>
        <v>0</v>
      </c>
      <c r="Q368" s="471"/>
    </row>
    <row r="369" spans="3:17">
      <c r="C369" s="505">
        <f>IF(D355="","-",+C368+1)</f>
        <v>2021</v>
      </c>
      <c r="D369" s="469">
        <f t="shared" si="38"/>
        <v>4743417.5360912727</v>
      </c>
      <c r="E369" s="511">
        <f t="shared" si="39"/>
        <v>135849.66690476189</v>
      </c>
      <c r="F369" s="511">
        <f t="shared" si="32"/>
        <v>4607567.8691865113</v>
      </c>
      <c r="G369" s="469">
        <f t="shared" si="33"/>
        <v>4675492.7026388925</v>
      </c>
      <c r="H369" s="506">
        <f>+J356*G369+E369</f>
        <v>837015.85459428991</v>
      </c>
      <c r="I369" s="512">
        <f>+J357*G369+E369</f>
        <v>837015.85459428991</v>
      </c>
      <c r="J369" s="509">
        <f t="shared" si="34"/>
        <v>0</v>
      </c>
      <c r="K369" s="509"/>
      <c r="L369" s="513">
        <v>806620.29633851722</v>
      </c>
      <c r="M369" s="509">
        <f t="shared" si="35"/>
        <v>30395.558255772688</v>
      </c>
      <c r="N369" s="513">
        <v>806620.29633851722</v>
      </c>
      <c r="O369" s="509">
        <f t="shared" si="36"/>
        <v>30395.558255772688</v>
      </c>
      <c r="P369" s="509">
        <f t="shared" si="37"/>
        <v>0</v>
      </c>
      <c r="Q369" s="471"/>
    </row>
    <row r="370" spans="3:17">
      <c r="C370" s="963">
        <f>IF(D355="","-",+C369+1)</f>
        <v>2022</v>
      </c>
      <c r="D370" s="469">
        <f t="shared" si="38"/>
        <v>4607567.8691865113</v>
      </c>
      <c r="E370" s="511">
        <f t="shared" si="39"/>
        <v>135849.66690476189</v>
      </c>
      <c r="F370" s="511">
        <f t="shared" si="32"/>
        <v>4471718.2022817498</v>
      </c>
      <c r="G370" s="469">
        <f t="shared" si="33"/>
        <v>4539643.0357341301</v>
      </c>
      <c r="H370" s="506">
        <f>+J356*G370+E370</f>
        <v>816642.9871553689</v>
      </c>
      <c r="I370" s="512">
        <f>+J357*G370+E370</f>
        <v>816642.9871553689</v>
      </c>
      <c r="J370" s="509">
        <f t="shared" si="34"/>
        <v>0</v>
      </c>
      <c r="K370" s="509"/>
      <c r="L370" s="513">
        <v>791287.19734782632</v>
      </c>
      <c r="M370" s="509">
        <f t="shared" si="35"/>
        <v>25355.789807542576</v>
      </c>
      <c r="N370" s="513">
        <v>791287.19734782632</v>
      </c>
      <c r="O370" s="509">
        <f t="shared" si="36"/>
        <v>25355.789807542576</v>
      </c>
      <c r="P370" s="509">
        <f t="shared" si="37"/>
        <v>0</v>
      </c>
      <c r="Q370" s="471"/>
    </row>
    <row r="371" spans="3:17">
      <c r="C371" s="505">
        <f>IF(D355="","-",+C370+1)</f>
        <v>2023</v>
      </c>
      <c r="D371" s="469">
        <f t="shared" si="38"/>
        <v>4471718.2022817498</v>
      </c>
      <c r="E371" s="511">
        <f t="shared" si="39"/>
        <v>135849.66690476189</v>
      </c>
      <c r="F371" s="511">
        <f t="shared" si="32"/>
        <v>4335868.5353769884</v>
      </c>
      <c r="G371" s="469">
        <f t="shared" si="33"/>
        <v>4403793.3688293695</v>
      </c>
      <c r="H371" s="506">
        <f>+J356*G371+E371</f>
        <v>796270.11971644824</v>
      </c>
      <c r="I371" s="512">
        <f>+J357*G371+E371</f>
        <v>796270.11971644824</v>
      </c>
      <c r="J371" s="509">
        <f t="shared" si="34"/>
        <v>0</v>
      </c>
      <c r="K371" s="509"/>
      <c r="L371" s="513">
        <v>802761.61935425783</v>
      </c>
      <c r="M371" s="509">
        <f t="shared" si="35"/>
        <v>-6491.4996378095821</v>
      </c>
      <c r="N371" s="513">
        <v>802761.61935425783</v>
      </c>
      <c r="O371" s="509">
        <f t="shared" si="36"/>
        <v>-6491.4996378095821</v>
      </c>
      <c r="P371" s="509">
        <f t="shared" si="37"/>
        <v>0</v>
      </c>
      <c r="Q371" s="471"/>
    </row>
    <row r="372" spans="3:17">
      <c r="C372" s="505">
        <f>IF(D355="","-",+C371+1)</f>
        <v>2024</v>
      </c>
      <c r="D372" s="469">
        <f t="shared" si="38"/>
        <v>4335868.5353769884</v>
      </c>
      <c r="E372" s="511">
        <f t="shared" si="39"/>
        <v>135849.66690476189</v>
      </c>
      <c r="F372" s="511">
        <f t="shared" si="32"/>
        <v>4200018.8684722269</v>
      </c>
      <c r="G372" s="469">
        <f t="shared" si="33"/>
        <v>4267943.7019246072</v>
      </c>
      <c r="H372" s="506">
        <f>+J356*G372+E372</f>
        <v>775897.25227752735</v>
      </c>
      <c r="I372" s="512">
        <f>+J357*G372+E372</f>
        <v>775897.25227752735</v>
      </c>
      <c r="J372" s="509">
        <f t="shared" si="34"/>
        <v>0</v>
      </c>
      <c r="K372" s="509"/>
      <c r="L372" s="513">
        <v>779147.85801716044</v>
      </c>
      <c r="M372" s="509">
        <f t="shared" si="35"/>
        <v>-3250.6057396330871</v>
      </c>
      <c r="N372" s="513">
        <v>779147.85801716044</v>
      </c>
      <c r="O372" s="509">
        <f t="shared" si="36"/>
        <v>-3250.6057396330871</v>
      </c>
      <c r="P372" s="509">
        <f t="shared" si="37"/>
        <v>0</v>
      </c>
      <c r="Q372" s="471"/>
    </row>
    <row r="373" spans="3:17">
      <c r="C373" s="505">
        <f>IF(D355="","-",+C372+1)</f>
        <v>2025</v>
      </c>
      <c r="D373" s="469">
        <f t="shared" si="38"/>
        <v>4200018.8684722269</v>
      </c>
      <c r="E373" s="511">
        <f t="shared" si="39"/>
        <v>135849.66690476189</v>
      </c>
      <c r="F373" s="511">
        <f t="shared" si="32"/>
        <v>4064169.201567465</v>
      </c>
      <c r="G373" s="469">
        <f t="shared" si="33"/>
        <v>4132094.0350198457</v>
      </c>
      <c r="H373" s="506">
        <f>+J356*G373+E373</f>
        <v>755524.38483860646</v>
      </c>
      <c r="I373" s="512">
        <f>+J357*G373+E373</f>
        <v>755524.38483860646</v>
      </c>
      <c r="J373" s="509">
        <f t="shared" si="34"/>
        <v>0</v>
      </c>
      <c r="K373" s="509"/>
      <c r="L373" s="513">
        <v>735960.84490174218</v>
      </c>
      <c r="M373" s="509">
        <f t="shared" si="35"/>
        <v>19563.539936864283</v>
      </c>
      <c r="N373" s="513">
        <v>735960.84490174218</v>
      </c>
      <c r="O373" s="509">
        <f t="shared" si="36"/>
        <v>19563.539936864283</v>
      </c>
      <c r="P373" s="509">
        <f t="shared" si="37"/>
        <v>0</v>
      </c>
      <c r="Q373" s="471"/>
    </row>
    <row r="374" spans="3:17">
      <c r="C374" s="505">
        <f>IF(D355="","-",+C373+1)</f>
        <v>2026</v>
      </c>
      <c r="D374" s="469">
        <f t="shared" si="38"/>
        <v>4064169.201567465</v>
      </c>
      <c r="E374" s="511">
        <f t="shared" si="39"/>
        <v>135849.66690476189</v>
      </c>
      <c r="F374" s="511">
        <f t="shared" si="32"/>
        <v>3928319.5346627031</v>
      </c>
      <c r="G374" s="469">
        <f t="shared" si="33"/>
        <v>3996244.3681150842</v>
      </c>
      <c r="H374" s="506">
        <f>+J356*G374+E374</f>
        <v>735151.51739968569</v>
      </c>
      <c r="I374" s="512">
        <f>+J357*G374+E374</f>
        <v>735151.51739968569</v>
      </c>
      <c r="J374" s="509">
        <f t="shared" si="34"/>
        <v>0</v>
      </c>
      <c r="K374" s="509"/>
      <c r="L374" s="513"/>
      <c r="M374" s="509">
        <f t="shared" si="35"/>
        <v>0</v>
      </c>
      <c r="N374" s="513"/>
      <c r="O374" s="509">
        <f t="shared" si="36"/>
        <v>0</v>
      </c>
      <c r="P374" s="509">
        <f t="shared" si="37"/>
        <v>0</v>
      </c>
      <c r="Q374" s="471"/>
    </row>
    <row r="375" spans="3:17">
      <c r="C375" s="505">
        <f>IF(D355="","-",+C374+1)</f>
        <v>2027</v>
      </c>
      <c r="D375" s="469">
        <f t="shared" si="38"/>
        <v>3928319.5346627031</v>
      </c>
      <c r="E375" s="511">
        <f t="shared" si="39"/>
        <v>135849.66690476189</v>
      </c>
      <c r="F375" s="511">
        <f t="shared" si="32"/>
        <v>3792469.8677579411</v>
      </c>
      <c r="G375" s="469">
        <f t="shared" si="33"/>
        <v>3860394.7012103219</v>
      </c>
      <c r="H375" s="506">
        <f>+J356*G375+E375</f>
        <v>714778.64996076468</v>
      </c>
      <c r="I375" s="512">
        <f>+J357*G375+E375</f>
        <v>714778.64996076468</v>
      </c>
      <c r="J375" s="509">
        <f t="shared" si="34"/>
        <v>0</v>
      </c>
      <c r="K375" s="509"/>
      <c r="L375" s="513"/>
      <c r="M375" s="509">
        <f t="shared" si="35"/>
        <v>0</v>
      </c>
      <c r="N375" s="513"/>
      <c r="O375" s="509">
        <f t="shared" si="36"/>
        <v>0</v>
      </c>
      <c r="P375" s="509">
        <f t="shared" si="37"/>
        <v>0</v>
      </c>
      <c r="Q375" s="471"/>
    </row>
    <row r="376" spans="3:17">
      <c r="C376" s="505">
        <f>IF(D355="","-",+C375+1)</f>
        <v>2028</v>
      </c>
      <c r="D376" s="469">
        <f t="shared" si="38"/>
        <v>3792469.8677579411</v>
      </c>
      <c r="E376" s="511">
        <f t="shared" si="39"/>
        <v>135849.66690476189</v>
      </c>
      <c r="F376" s="511">
        <f t="shared" si="32"/>
        <v>3656620.2008531792</v>
      </c>
      <c r="G376" s="469">
        <f t="shared" si="33"/>
        <v>3724545.0343055604</v>
      </c>
      <c r="H376" s="506">
        <f>+J356*G376+E376</f>
        <v>694405.78252184379</v>
      </c>
      <c r="I376" s="512">
        <f>+J357*G376+E376</f>
        <v>694405.78252184379</v>
      </c>
      <c r="J376" s="509">
        <f t="shared" si="34"/>
        <v>0</v>
      </c>
      <c r="K376" s="509"/>
      <c r="L376" s="513"/>
      <c r="M376" s="509">
        <f t="shared" si="35"/>
        <v>0</v>
      </c>
      <c r="N376" s="513"/>
      <c r="O376" s="509">
        <f t="shared" si="36"/>
        <v>0</v>
      </c>
      <c r="P376" s="509">
        <f t="shared" si="37"/>
        <v>0</v>
      </c>
      <c r="Q376" s="471"/>
    </row>
    <row r="377" spans="3:17">
      <c r="C377" s="505">
        <f>IF(D355="","-",+C376+1)</f>
        <v>2029</v>
      </c>
      <c r="D377" s="469">
        <f t="shared" si="38"/>
        <v>3656620.2008531792</v>
      </c>
      <c r="E377" s="511">
        <f t="shared" si="39"/>
        <v>135849.66690476189</v>
      </c>
      <c r="F377" s="511">
        <f t="shared" si="32"/>
        <v>3520770.5339484173</v>
      </c>
      <c r="G377" s="469">
        <f t="shared" si="33"/>
        <v>3588695.367400798</v>
      </c>
      <c r="H377" s="506">
        <f>+J356*G377+E377</f>
        <v>674032.9150829229</v>
      </c>
      <c r="I377" s="512">
        <f>+J357*G377+E377</f>
        <v>674032.9150829229</v>
      </c>
      <c r="J377" s="509">
        <f t="shared" si="34"/>
        <v>0</v>
      </c>
      <c r="K377" s="509"/>
      <c r="L377" s="513"/>
      <c r="M377" s="509">
        <f t="shared" si="35"/>
        <v>0</v>
      </c>
      <c r="N377" s="513"/>
      <c r="O377" s="509">
        <f t="shared" si="36"/>
        <v>0</v>
      </c>
      <c r="P377" s="509">
        <f t="shared" si="37"/>
        <v>0</v>
      </c>
      <c r="Q377" s="471"/>
    </row>
    <row r="378" spans="3:17">
      <c r="C378" s="505">
        <f>IF(D355="","-",+C377+1)</f>
        <v>2030</v>
      </c>
      <c r="D378" s="469">
        <f t="shared" si="38"/>
        <v>3520770.5339484173</v>
      </c>
      <c r="E378" s="511">
        <f t="shared" si="39"/>
        <v>135849.66690476189</v>
      </c>
      <c r="F378" s="511">
        <f t="shared" si="32"/>
        <v>3384920.8670436554</v>
      </c>
      <c r="G378" s="469">
        <f t="shared" si="33"/>
        <v>3452845.7004960366</v>
      </c>
      <c r="H378" s="506">
        <f>+J356*G378+E378</f>
        <v>653660.04764400201</v>
      </c>
      <c r="I378" s="512">
        <f>+J357*G378+E378</f>
        <v>653660.04764400201</v>
      </c>
      <c r="J378" s="509">
        <f t="shared" si="34"/>
        <v>0</v>
      </c>
      <c r="K378" s="509"/>
      <c r="L378" s="513"/>
      <c r="M378" s="509">
        <f t="shared" si="35"/>
        <v>0</v>
      </c>
      <c r="N378" s="513"/>
      <c r="O378" s="509">
        <f t="shared" si="36"/>
        <v>0</v>
      </c>
      <c r="P378" s="509">
        <f t="shared" si="37"/>
        <v>0</v>
      </c>
      <c r="Q378" s="471"/>
    </row>
    <row r="379" spans="3:17">
      <c r="C379" s="505">
        <f>IF(D355="","-",+C378+1)</f>
        <v>2031</v>
      </c>
      <c r="D379" s="469">
        <f t="shared" si="38"/>
        <v>3384920.8670436554</v>
      </c>
      <c r="E379" s="511">
        <f t="shared" si="39"/>
        <v>135849.66690476189</v>
      </c>
      <c r="F379" s="511">
        <f t="shared" si="32"/>
        <v>3249071.2001388934</v>
      </c>
      <c r="G379" s="469">
        <f t="shared" si="33"/>
        <v>3316996.0335912742</v>
      </c>
      <c r="H379" s="506">
        <f>+J356*G379+E379</f>
        <v>633287.18020508101</v>
      </c>
      <c r="I379" s="512">
        <f>+J357*G379+E379</f>
        <v>633287.18020508101</v>
      </c>
      <c r="J379" s="509">
        <f t="shared" si="34"/>
        <v>0</v>
      </c>
      <c r="K379" s="509"/>
      <c r="L379" s="513"/>
      <c r="M379" s="509">
        <f t="shared" si="35"/>
        <v>0</v>
      </c>
      <c r="N379" s="513"/>
      <c r="O379" s="509">
        <f t="shared" si="36"/>
        <v>0</v>
      </c>
      <c r="P379" s="509">
        <f t="shared" si="37"/>
        <v>0</v>
      </c>
      <c r="Q379" s="471"/>
    </row>
    <row r="380" spans="3:17">
      <c r="C380" s="505">
        <f>IF(D355="","-",+C379+1)</f>
        <v>2032</v>
      </c>
      <c r="D380" s="469">
        <f t="shared" si="38"/>
        <v>3249071.2001388934</v>
      </c>
      <c r="E380" s="511">
        <f t="shared" si="39"/>
        <v>135849.66690476189</v>
      </c>
      <c r="F380" s="511">
        <f t="shared" si="32"/>
        <v>3113221.5332341315</v>
      </c>
      <c r="G380" s="469">
        <f t="shared" si="33"/>
        <v>3181146.3666865127</v>
      </c>
      <c r="H380" s="506">
        <f>+J356*G380+E380</f>
        <v>612914.31276616023</v>
      </c>
      <c r="I380" s="512">
        <f>+J357*G380+E380</f>
        <v>612914.31276616023</v>
      </c>
      <c r="J380" s="509">
        <f t="shared" si="34"/>
        <v>0</v>
      </c>
      <c r="K380" s="509"/>
      <c r="L380" s="513"/>
      <c r="M380" s="509">
        <f t="shared" si="35"/>
        <v>0</v>
      </c>
      <c r="N380" s="513"/>
      <c r="O380" s="509">
        <f t="shared" si="36"/>
        <v>0</v>
      </c>
      <c r="P380" s="509">
        <f t="shared" si="37"/>
        <v>0</v>
      </c>
      <c r="Q380" s="471"/>
    </row>
    <row r="381" spans="3:17">
      <c r="C381" s="505">
        <f>IF(D355="","-",+C380+1)</f>
        <v>2033</v>
      </c>
      <c r="D381" s="469">
        <f t="shared" si="38"/>
        <v>3113221.5332341315</v>
      </c>
      <c r="E381" s="511">
        <f t="shared" si="39"/>
        <v>135849.66690476189</v>
      </c>
      <c r="F381" s="511">
        <f t="shared" si="32"/>
        <v>2977371.8663293696</v>
      </c>
      <c r="G381" s="469">
        <f t="shared" si="33"/>
        <v>3045296.6997817503</v>
      </c>
      <c r="H381" s="506">
        <f>+J356*G381+E381</f>
        <v>592541.44532723923</v>
      </c>
      <c r="I381" s="512">
        <f>+J357*G381+E381</f>
        <v>592541.44532723923</v>
      </c>
      <c r="J381" s="509">
        <f t="shared" si="34"/>
        <v>0</v>
      </c>
      <c r="K381" s="509"/>
      <c r="L381" s="513"/>
      <c r="M381" s="509">
        <f t="shared" si="35"/>
        <v>0</v>
      </c>
      <c r="N381" s="513"/>
      <c r="O381" s="509">
        <f t="shared" si="36"/>
        <v>0</v>
      </c>
      <c r="P381" s="509">
        <f t="shared" si="37"/>
        <v>0</v>
      </c>
      <c r="Q381" s="471"/>
    </row>
    <row r="382" spans="3:17">
      <c r="C382" s="505">
        <f>IF(D355="","-",+C381+1)</f>
        <v>2034</v>
      </c>
      <c r="D382" s="469">
        <f t="shared" si="38"/>
        <v>2977371.8663293696</v>
      </c>
      <c r="E382" s="511">
        <f t="shared" si="39"/>
        <v>135849.66690476189</v>
      </c>
      <c r="F382" s="511">
        <f t="shared" si="32"/>
        <v>2841522.1994246077</v>
      </c>
      <c r="G382" s="469">
        <f t="shared" si="33"/>
        <v>2909447.0328769889</v>
      </c>
      <c r="H382" s="506">
        <f>+J356*G382+E382</f>
        <v>572168.57788831845</v>
      </c>
      <c r="I382" s="512">
        <f>+J357*G382+E382</f>
        <v>572168.57788831845</v>
      </c>
      <c r="J382" s="509">
        <f t="shared" si="34"/>
        <v>0</v>
      </c>
      <c r="K382" s="509"/>
      <c r="L382" s="513"/>
      <c r="M382" s="509">
        <f t="shared" si="35"/>
        <v>0</v>
      </c>
      <c r="N382" s="513"/>
      <c r="O382" s="509">
        <f t="shared" si="36"/>
        <v>0</v>
      </c>
      <c r="P382" s="509">
        <f t="shared" si="37"/>
        <v>0</v>
      </c>
      <c r="Q382" s="471"/>
    </row>
    <row r="383" spans="3:17">
      <c r="C383" s="505">
        <f>IF(D355="","-",+C382+1)</f>
        <v>2035</v>
      </c>
      <c r="D383" s="469">
        <f t="shared" si="38"/>
        <v>2841522.1994246077</v>
      </c>
      <c r="E383" s="511">
        <f t="shared" si="39"/>
        <v>135849.66690476189</v>
      </c>
      <c r="F383" s="511">
        <f t="shared" si="32"/>
        <v>2705672.5325198458</v>
      </c>
      <c r="G383" s="469">
        <f t="shared" si="33"/>
        <v>2773597.3659722265</v>
      </c>
      <c r="H383" s="506">
        <f>+J356*G383+E383</f>
        <v>551795.71044939745</v>
      </c>
      <c r="I383" s="512">
        <f>+J357*G383+E383</f>
        <v>551795.71044939745</v>
      </c>
      <c r="J383" s="509">
        <f t="shared" si="34"/>
        <v>0</v>
      </c>
      <c r="K383" s="509"/>
      <c r="L383" s="513"/>
      <c r="M383" s="509">
        <f t="shared" si="35"/>
        <v>0</v>
      </c>
      <c r="N383" s="513"/>
      <c r="O383" s="509">
        <f t="shared" si="36"/>
        <v>0</v>
      </c>
      <c r="P383" s="509">
        <f t="shared" si="37"/>
        <v>0</v>
      </c>
      <c r="Q383" s="471"/>
    </row>
    <row r="384" spans="3:17">
      <c r="C384" s="505">
        <f>IF(D355="","-",+C383+1)</f>
        <v>2036</v>
      </c>
      <c r="D384" s="469">
        <f t="shared" si="38"/>
        <v>2705672.5325198458</v>
      </c>
      <c r="E384" s="511">
        <f t="shared" si="39"/>
        <v>135849.66690476189</v>
      </c>
      <c r="F384" s="511">
        <f t="shared" si="32"/>
        <v>2569822.8656150838</v>
      </c>
      <c r="G384" s="469">
        <f t="shared" si="33"/>
        <v>2637747.699067465</v>
      </c>
      <c r="H384" s="506">
        <f>+J356*G384+E384</f>
        <v>531422.84301047667</v>
      </c>
      <c r="I384" s="512">
        <f>+J357*G384+E384</f>
        <v>531422.84301047667</v>
      </c>
      <c r="J384" s="509">
        <f t="shared" si="34"/>
        <v>0</v>
      </c>
      <c r="K384" s="509"/>
      <c r="L384" s="513"/>
      <c r="M384" s="509">
        <f t="shared" si="35"/>
        <v>0</v>
      </c>
      <c r="N384" s="513"/>
      <c r="O384" s="509">
        <f t="shared" si="36"/>
        <v>0</v>
      </c>
      <c r="P384" s="509">
        <f t="shared" si="37"/>
        <v>0</v>
      </c>
      <c r="Q384" s="471"/>
    </row>
    <row r="385" spans="3:17">
      <c r="C385" s="505">
        <f>IF(D355="","-",+C384+1)</f>
        <v>2037</v>
      </c>
      <c r="D385" s="469">
        <f t="shared" si="38"/>
        <v>2569822.8656150838</v>
      </c>
      <c r="E385" s="511">
        <f t="shared" si="39"/>
        <v>135849.66690476189</v>
      </c>
      <c r="F385" s="511">
        <f t="shared" si="32"/>
        <v>2433973.1987103219</v>
      </c>
      <c r="G385" s="469">
        <f t="shared" si="33"/>
        <v>2501898.0321627026</v>
      </c>
      <c r="H385" s="506">
        <f>+J356*G385+E385</f>
        <v>511049.97557155567</v>
      </c>
      <c r="I385" s="512">
        <f>+J357*G385+E385</f>
        <v>511049.97557155567</v>
      </c>
      <c r="J385" s="509">
        <f t="shared" si="34"/>
        <v>0</v>
      </c>
      <c r="K385" s="509"/>
      <c r="L385" s="513"/>
      <c r="M385" s="509">
        <f t="shared" si="35"/>
        <v>0</v>
      </c>
      <c r="N385" s="513"/>
      <c r="O385" s="509">
        <f t="shared" si="36"/>
        <v>0</v>
      </c>
      <c r="P385" s="509">
        <f t="shared" si="37"/>
        <v>0</v>
      </c>
      <c r="Q385" s="471"/>
    </row>
    <row r="386" spans="3:17">
      <c r="C386" s="505">
        <f>IF(D355="","-",+C385+1)</f>
        <v>2038</v>
      </c>
      <c r="D386" s="469">
        <f t="shared" si="38"/>
        <v>2433973.1987103219</v>
      </c>
      <c r="E386" s="511">
        <f t="shared" si="39"/>
        <v>135849.66690476189</v>
      </c>
      <c r="F386" s="511">
        <f t="shared" si="32"/>
        <v>2298123.53180556</v>
      </c>
      <c r="G386" s="469">
        <f t="shared" si="33"/>
        <v>2366048.3652579412</v>
      </c>
      <c r="H386" s="506">
        <f>+J356*G386+E386</f>
        <v>490677.10813263489</v>
      </c>
      <c r="I386" s="512">
        <f>+J357*G386+E386</f>
        <v>490677.10813263489</v>
      </c>
      <c r="J386" s="509">
        <f t="shared" si="34"/>
        <v>0</v>
      </c>
      <c r="K386" s="509"/>
      <c r="L386" s="513"/>
      <c r="M386" s="509">
        <f t="shared" si="35"/>
        <v>0</v>
      </c>
      <c r="N386" s="513"/>
      <c r="O386" s="509">
        <f t="shared" si="36"/>
        <v>0</v>
      </c>
      <c r="P386" s="509">
        <f t="shared" si="37"/>
        <v>0</v>
      </c>
      <c r="Q386" s="471"/>
    </row>
    <row r="387" spans="3:17">
      <c r="C387" s="505">
        <f>IF(D355="","-",+C386+1)</f>
        <v>2039</v>
      </c>
      <c r="D387" s="469">
        <f t="shared" si="38"/>
        <v>2298123.53180556</v>
      </c>
      <c r="E387" s="511">
        <f t="shared" si="39"/>
        <v>135849.66690476189</v>
      </c>
      <c r="F387" s="511">
        <f t="shared" si="32"/>
        <v>2162273.8649007981</v>
      </c>
      <c r="G387" s="469">
        <f t="shared" si="33"/>
        <v>2230198.6983531788</v>
      </c>
      <c r="H387" s="506">
        <f>+J356*G387+E387</f>
        <v>470304.24069371389</v>
      </c>
      <c r="I387" s="512">
        <f>+J357*G387+E387</f>
        <v>470304.24069371389</v>
      </c>
      <c r="J387" s="509">
        <f t="shared" si="34"/>
        <v>0</v>
      </c>
      <c r="K387" s="509"/>
      <c r="L387" s="513"/>
      <c r="M387" s="509">
        <f t="shared" si="35"/>
        <v>0</v>
      </c>
      <c r="N387" s="513"/>
      <c r="O387" s="509">
        <f t="shared" si="36"/>
        <v>0</v>
      </c>
      <c r="P387" s="509">
        <f t="shared" si="37"/>
        <v>0</v>
      </c>
      <c r="Q387" s="471"/>
    </row>
    <row r="388" spans="3:17">
      <c r="C388" s="505">
        <f>IF(D355="","-",+C387+1)</f>
        <v>2040</v>
      </c>
      <c r="D388" s="469">
        <f t="shared" si="38"/>
        <v>2162273.8649007981</v>
      </c>
      <c r="E388" s="511">
        <f t="shared" si="39"/>
        <v>135849.66690476189</v>
      </c>
      <c r="F388" s="511">
        <f t="shared" si="32"/>
        <v>2026424.1979960361</v>
      </c>
      <c r="G388" s="469">
        <f t="shared" si="33"/>
        <v>2094349.0314484171</v>
      </c>
      <c r="H388" s="506">
        <f>+J356*G388+E388</f>
        <v>449931.373254793</v>
      </c>
      <c r="I388" s="512">
        <f>+J357*G388+E388</f>
        <v>449931.373254793</v>
      </c>
      <c r="J388" s="509">
        <f t="shared" si="34"/>
        <v>0</v>
      </c>
      <c r="K388" s="509"/>
      <c r="L388" s="513"/>
      <c r="M388" s="509">
        <f t="shared" si="35"/>
        <v>0</v>
      </c>
      <c r="N388" s="513"/>
      <c r="O388" s="509">
        <f t="shared" si="36"/>
        <v>0</v>
      </c>
      <c r="P388" s="509">
        <f t="shared" si="37"/>
        <v>0</v>
      </c>
      <c r="Q388" s="471"/>
    </row>
    <row r="389" spans="3:17">
      <c r="C389" s="505">
        <f>IF(D355="","-",+C388+1)</f>
        <v>2041</v>
      </c>
      <c r="D389" s="469">
        <f t="shared" si="38"/>
        <v>2026424.1979960361</v>
      </c>
      <c r="E389" s="511">
        <f t="shared" si="39"/>
        <v>135849.66690476189</v>
      </c>
      <c r="F389" s="511">
        <f t="shared" si="32"/>
        <v>1890574.5310912742</v>
      </c>
      <c r="G389" s="469">
        <f t="shared" si="33"/>
        <v>1958499.3645436552</v>
      </c>
      <c r="H389" s="506">
        <f>+J356*G389+E389</f>
        <v>429558.50581587211</v>
      </c>
      <c r="I389" s="512">
        <f>+J357*G389+E389</f>
        <v>429558.50581587211</v>
      </c>
      <c r="J389" s="509">
        <f t="shared" si="34"/>
        <v>0</v>
      </c>
      <c r="K389" s="509"/>
      <c r="L389" s="513"/>
      <c r="M389" s="509">
        <f t="shared" si="35"/>
        <v>0</v>
      </c>
      <c r="N389" s="513"/>
      <c r="O389" s="509">
        <f t="shared" si="36"/>
        <v>0</v>
      </c>
      <c r="P389" s="509">
        <f t="shared" si="37"/>
        <v>0</v>
      </c>
      <c r="Q389" s="471"/>
    </row>
    <row r="390" spans="3:17">
      <c r="C390" s="505">
        <f>IF(D355="","-",+C389+1)</f>
        <v>2042</v>
      </c>
      <c r="D390" s="469">
        <f t="shared" si="38"/>
        <v>1890574.5310912742</v>
      </c>
      <c r="E390" s="511">
        <f t="shared" si="39"/>
        <v>135849.66690476189</v>
      </c>
      <c r="F390" s="511">
        <f t="shared" si="32"/>
        <v>1754724.8641865123</v>
      </c>
      <c r="G390" s="469">
        <f t="shared" si="33"/>
        <v>1822649.6976388933</v>
      </c>
      <c r="H390" s="506">
        <f>+J356*G390+E390</f>
        <v>409185.63837695122</v>
      </c>
      <c r="I390" s="512">
        <f>+J357*G390+E390</f>
        <v>409185.63837695122</v>
      </c>
      <c r="J390" s="509">
        <f t="shared" si="34"/>
        <v>0</v>
      </c>
      <c r="K390" s="509"/>
      <c r="L390" s="513"/>
      <c r="M390" s="509">
        <f t="shared" si="35"/>
        <v>0</v>
      </c>
      <c r="N390" s="513"/>
      <c r="O390" s="509">
        <f t="shared" si="36"/>
        <v>0</v>
      </c>
      <c r="P390" s="509">
        <f t="shared" si="37"/>
        <v>0</v>
      </c>
      <c r="Q390" s="471"/>
    </row>
    <row r="391" spans="3:17">
      <c r="C391" s="505">
        <f>IF(D355="","-",+C390+1)</f>
        <v>2043</v>
      </c>
      <c r="D391" s="469">
        <f t="shared" si="38"/>
        <v>1754724.8641865123</v>
      </c>
      <c r="E391" s="511">
        <f t="shared" si="39"/>
        <v>135849.66690476189</v>
      </c>
      <c r="F391" s="511">
        <f t="shared" si="32"/>
        <v>1618875.1972817504</v>
      </c>
      <c r="G391" s="469">
        <f t="shared" si="33"/>
        <v>1686800.0307341313</v>
      </c>
      <c r="H391" s="506">
        <f>+J356*G391+E391</f>
        <v>388812.77093803033</v>
      </c>
      <c r="I391" s="512">
        <f>+J357*G391+E391</f>
        <v>388812.77093803033</v>
      </c>
      <c r="J391" s="509">
        <f t="shared" si="34"/>
        <v>0</v>
      </c>
      <c r="K391" s="509"/>
      <c r="L391" s="513"/>
      <c r="M391" s="509">
        <f t="shared" si="35"/>
        <v>0</v>
      </c>
      <c r="N391" s="513"/>
      <c r="O391" s="509">
        <f t="shared" si="36"/>
        <v>0</v>
      </c>
      <c r="P391" s="509">
        <f t="shared" si="37"/>
        <v>0</v>
      </c>
      <c r="Q391" s="471"/>
    </row>
    <row r="392" spans="3:17">
      <c r="C392" s="505">
        <f>IF(D355="","-",+C391+1)</f>
        <v>2044</v>
      </c>
      <c r="D392" s="469">
        <f t="shared" si="38"/>
        <v>1618875.1972817504</v>
      </c>
      <c r="E392" s="511">
        <f t="shared" si="39"/>
        <v>135849.66690476189</v>
      </c>
      <c r="F392" s="511">
        <f t="shared" si="32"/>
        <v>1483025.5303769885</v>
      </c>
      <c r="G392" s="469">
        <f t="shared" si="33"/>
        <v>1550950.3638293694</v>
      </c>
      <c r="H392" s="506">
        <f>+J356*G392+E392</f>
        <v>368439.90349910944</v>
      </c>
      <c r="I392" s="512">
        <f>+J357*G392+E392</f>
        <v>368439.90349910944</v>
      </c>
      <c r="J392" s="509">
        <f t="shared" si="34"/>
        <v>0</v>
      </c>
      <c r="K392" s="509"/>
      <c r="L392" s="513"/>
      <c r="M392" s="509">
        <f t="shared" si="35"/>
        <v>0</v>
      </c>
      <c r="N392" s="513"/>
      <c r="O392" s="509">
        <f t="shared" si="36"/>
        <v>0</v>
      </c>
      <c r="P392" s="509">
        <f t="shared" si="37"/>
        <v>0</v>
      </c>
      <c r="Q392" s="471"/>
    </row>
    <row r="393" spans="3:17">
      <c r="C393" s="505">
        <f>IF(D355="","-",+C392+1)</f>
        <v>2045</v>
      </c>
      <c r="D393" s="469">
        <f t="shared" si="38"/>
        <v>1483025.5303769885</v>
      </c>
      <c r="E393" s="511">
        <f t="shared" si="39"/>
        <v>135849.66690476189</v>
      </c>
      <c r="F393" s="511">
        <f t="shared" si="32"/>
        <v>1347175.8634722265</v>
      </c>
      <c r="G393" s="469">
        <f t="shared" si="33"/>
        <v>1415100.6969246075</v>
      </c>
      <c r="H393" s="506">
        <f>+J356*G393+E393</f>
        <v>348067.03606018855</v>
      </c>
      <c r="I393" s="512">
        <f>+J357*G393+E393</f>
        <v>348067.03606018855</v>
      </c>
      <c r="J393" s="509">
        <f t="shared" si="34"/>
        <v>0</v>
      </c>
      <c r="K393" s="509"/>
      <c r="L393" s="513"/>
      <c r="M393" s="509">
        <f t="shared" si="35"/>
        <v>0</v>
      </c>
      <c r="N393" s="513"/>
      <c r="O393" s="509">
        <f t="shared" si="36"/>
        <v>0</v>
      </c>
      <c r="P393" s="509">
        <f t="shared" si="37"/>
        <v>0</v>
      </c>
      <c r="Q393" s="471"/>
    </row>
    <row r="394" spans="3:17">
      <c r="C394" s="505">
        <f>IF(D355="","-",+C393+1)</f>
        <v>2046</v>
      </c>
      <c r="D394" s="469">
        <f t="shared" si="38"/>
        <v>1347175.8634722265</v>
      </c>
      <c r="E394" s="511">
        <f t="shared" si="39"/>
        <v>135849.66690476189</v>
      </c>
      <c r="F394" s="511">
        <f t="shared" si="32"/>
        <v>1211326.1965674646</v>
      </c>
      <c r="G394" s="469">
        <f t="shared" si="33"/>
        <v>1279251.0300198456</v>
      </c>
      <c r="H394" s="506">
        <f>+J356*G394+E394</f>
        <v>327694.16862126766</v>
      </c>
      <c r="I394" s="512">
        <f>+J357*G394+E394</f>
        <v>327694.16862126766</v>
      </c>
      <c r="J394" s="509">
        <f t="shared" si="34"/>
        <v>0</v>
      </c>
      <c r="K394" s="509"/>
      <c r="L394" s="513"/>
      <c r="M394" s="509">
        <f t="shared" si="35"/>
        <v>0</v>
      </c>
      <c r="N394" s="513"/>
      <c r="O394" s="509">
        <f t="shared" si="36"/>
        <v>0</v>
      </c>
      <c r="P394" s="509">
        <f t="shared" si="37"/>
        <v>0</v>
      </c>
      <c r="Q394" s="471"/>
    </row>
    <row r="395" spans="3:17">
      <c r="C395" s="505">
        <f>IF(D355="","-",+C394+1)</f>
        <v>2047</v>
      </c>
      <c r="D395" s="469">
        <f t="shared" si="38"/>
        <v>1211326.1965674646</v>
      </c>
      <c r="E395" s="511">
        <f t="shared" si="39"/>
        <v>135849.66690476189</v>
      </c>
      <c r="F395" s="511">
        <f t="shared" si="32"/>
        <v>1075476.5296627027</v>
      </c>
      <c r="G395" s="469">
        <f t="shared" si="33"/>
        <v>1143401.3631150837</v>
      </c>
      <c r="H395" s="506">
        <f>+J356*G395+E395</f>
        <v>307321.30118234677</v>
      </c>
      <c r="I395" s="512">
        <f>+J357*G395+E395</f>
        <v>307321.30118234677</v>
      </c>
      <c r="J395" s="509">
        <f t="shared" si="34"/>
        <v>0</v>
      </c>
      <c r="K395" s="509"/>
      <c r="L395" s="513"/>
      <c r="M395" s="509">
        <f t="shared" si="35"/>
        <v>0</v>
      </c>
      <c r="N395" s="513"/>
      <c r="O395" s="509">
        <f t="shared" si="36"/>
        <v>0</v>
      </c>
      <c r="P395" s="509">
        <f t="shared" si="37"/>
        <v>0</v>
      </c>
      <c r="Q395" s="471"/>
    </row>
    <row r="396" spans="3:17">
      <c r="C396" s="505">
        <f>IF(D355="","-",+C395+1)</f>
        <v>2048</v>
      </c>
      <c r="D396" s="469">
        <f t="shared" si="38"/>
        <v>1075476.5296627027</v>
      </c>
      <c r="E396" s="511">
        <f t="shared" si="39"/>
        <v>135849.66690476189</v>
      </c>
      <c r="F396" s="511">
        <f t="shared" si="32"/>
        <v>939626.86275794078</v>
      </c>
      <c r="G396" s="469">
        <f t="shared" si="33"/>
        <v>1007551.6962103217</v>
      </c>
      <c r="H396" s="506">
        <f>+J356*G396+E396</f>
        <v>286948.43374342588</v>
      </c>
      <c r="I396" s="512">
        <f>+J357*G396+E396</f>
        <v>286948.43374342588</v>
      </c>
      <c r="J396" s="509">
        <f t="shared" si="34"/>
        <v>0</v>
      </c>
      <c r="K396" s="509"/>
      <c r="L396" s="513"/>
      <c r="M396" s="509">
        <f t="shared" si="35"/>
        <v>0</v>
      </c>
      <c r="N396" s="513"/>
      <c r="O396" s="509">
        <f t="shared" si="36"/>
        <v>0</v>
      </c>
      <c r="P396" s="509">
        <f t="shared" si="37"/>
        <v>0</v>
      </c>
      <c r="Q396" s="471"/>
    </row>
    <row r="397" spans="3:17">
      <c r="C397" s="505">
        <f>IF(D355="","-",+C396+1)</f>
        <v>2049</v>
      </c>
      <c r="D397" s="469">
        <f t="shared" si="38"/>
        <v>939626.86275794078</v>
      </c>
      <c r="E397" s="511">
        <f t="shared" si="39"/>
        <v>135849.66690476189</v>
      </c>
      <c r="F397" s="511">
        <f t="shared" si="32"/>
        <v>803777.19585317886</v>
      </c>
      <c r="G397" s="469">
        <f t="shared" si="33"/>
        <v>871702.02930555982</v>
      </c>
      <c r="H397" s="506">
        <f>+J356*G397+E397</f>
        <v>266575.56630450493</v>
      </c>
      <c r="I397" s="512">
        <f>+J357*G397+E397</f>
        <v>266575.56630450493</v>
      </c>
      <c r="J397" s="509">
        <f t="shared" si="34"/>
        <v>0</v>
      </c>
      <c r="K397" s="509"/>
      <c r="L397" s="513"/>
      <c r="M397" s="509">
        <f t="shared" si="35"/>
        <v>0</v>
      </c>
      <c r="N397" s="513"/>
      <c r="O397" s="509">
        <f t="shared" si="36"/>
        <v>0</v>
      </c>
      <c r="P397" s="509">
        <f t="shared" si="37"/>
        <v>0</v>
      </c>
      <c r="Q397" s="471"/>
    </row>
    <row r="398" spans="3:17">
      <c r="C398" s="505">
        <f>IF(D355="","-",+C397+1)</f>
        <v>2050</v>
      </c>
      <c r="D398" s="469">
        <f t="shared" si="38"/>
        <v>803777.19585317886</v>
      </c>
      <c r="E398" s="511">
        <f t="shared" si="39"/>
        <v>135849.66690476189</v>
      </c>
      <c r="F398" s="511">
        <f t="shared" si="32"/>
        <v>667927.52894841693</v>
      </c>
      <c r="G398" s="469">
        <f t="shared" si="33"/>
        <v>735852.36240079789</v>
      </c>
      <c r="H398" s="506">
        <f>+J356*G398+E398</f>
        <v>246202.69886558404</v>
      </c>
      <c r="I398" s="512">
        <f>+J357*G398+E398</f>
        <v>246202.69886558404</v>
      </c>
      <c r="J398" s="509">
        <f t="shared" si="34"/>
        <v>0</v>
      </c>
      <c r="K398" s="509"/>
      <c r="L398" s="513"/>
      <c r="M398" s="509">
        <f t="shared" si="35"/>
        <v>0</v>
      </c>
      <c r="N398" s="513"/>
      <c r="O398" s="509">
        <f t="shared" si="36"/>
        <v>0</v>
      </c>
      <c r="P398" s="509">
        <f t="shared" si="37"/>
        <v>0</v>
      </c>
      <c r="Q398" s="471"/>
    </row>
    <row r="399" spans="3:17">
      <c r="C399" s="505">
        <f>IF(D355="","-",+C398+1)</f>
        <v>2051</v>
      </c>
      <c r="D399" s="469">
        <f t="shared" si="38"/>
        <v>667927.52894841693</v>
      </c>
      <c r="E399" s="511">
        <f t="shared" si="39"/>
        <v>135849.66690476189</v>
      </c>
      <c r="F399" s="511">
        <f t="shared" si="32"/>
        <v>532077.86204365501</v>
      </c>
      <c r="G399" s="469">
        <f t="shared" si="33"/>
        <v>600002.69549603597</v>
      </c>
      <c r="H399" s="506">
        <f>+J356*G399+E399</f>
        <v>225829.83142666315</v>
      </c>
      <c r="I399" s="512">
        <f>+J357*G399+E399</f>
        <v>225829.83142666315</v>
      </c>
      <c r="J399" s="509">
        <f t="shared" si="34"/>
        <v>0</v>
      </c>
      <c r="K399" s="509"/>
      <c r="L399" s="513"/>
      <c r="M399" s="509">
        <f t="shared" si="35"/>
        <v>0</v>
      </c>
      <c r="N399" s="513"/>
      <c r="O399" s="509">
        <f t="shared" si="36"/>
        <v>0</v>
      </c>
      <c r="P399" s="509">
        <f t="shared" si="37"/>
        <v>0</v>
      </c>
      <c r="Q399" s="471"/>
    </row>
    <row r="400" spans="3:17">
      <c r="C400" s="505">
        <f>IF(D355="","-",+C399+1)</f>
        <v>2052</v>
      </c>
      <c r="D400" s="469">
        <f t="shared" si="38"/>
        <v>532077.86204365501</v>
      </c>
      <c r="E400" s="511">
        <f t="shared" si="39"/>
        <v>135849.66690476189</v>
      </c>
      <c r="F400" s="511">
        <f t="shared" si="32"/>
        <v>396228.19513889309</v>
      </c>
      <c r="G400" s="469">
        <f t="shared" si="33"/>
        <v>464153.02859127405</v>
      </c>
      <c r="H400" s="506">
        <f>+J356*G400+E400</f>
        <v>205456.96398774226</v>
      </c>
      <c r="I400" s="512">
        <f>+J357*G400+E400</f>
        <v>205456.96398774226</v>
      </c>
      <c r="J400" s="509">
        <f t="shared" si="34"/>
        <v>0</v>
      </c>
      <c r="K400" s="509"/>
      <c r="L400" s="513"/>
      <c r="M400" s="509">
        <f t="shared" si="35"/>
        <v>0</v>
      </c>
      <c r="N400" s="513"/>
      <c r="O400" s="509">
        <f t="shared" si="36"/>
        <v>0</v>
      </c>
      <c r="P400" s="509">
        <f t="shared" si="37"/>
        <v>0</v>
      </c>
      <c r="Q400" s="471"/>
    </row>
    <row r="401" spans="3:17">
      <c r="C401" s="505">
        <f>IF(D355="","-",+C400+1)</f>
        <v>2053</v>
      </c>
      <c r="D401" s="469">
        <f t="shared" si="38"/>
        <v>396228.19513889309</v>
      </c>
      <c r="E401" s="511">
        <f t="shared" si="39"/>
        <v>135849.66690476189</v>
      </c>
      <c r="F401" s="511">
        <f t="shared" si="32"/>
        <v>260378.5282341312</v>
      </c>
      <c r="G401" s="469">
        <f t="shared" si="33"/>
        <v>328303.36168651213</v>
      </c>
      <c r="H401" s="506">
        <f>+J356*G401+E401</f>
        <v>185084.09654882134</v>
      </c>
      <c r="I401" s="512">
        <f>+J357*G401+E401</f>
        <v>185084.09654882134</v>
      </c>
      <c r="J401" s="509">
        <f t="shared" si="34"/>
        <v>0</v>
      </c>
      <c r="K401" s="509"/>
      <c r="L401" s="513"/>
      <c r="M401" s="509">
        <f t="shared" si="35"/>
        <v>0</v>
      </c>
      <c r="N401" s="513"/>
      <c r="O401" s="509">
        <f t="shared" si="36"/>
        <v>0</v>
      </c>
      <c r="P401" s="509">
        <f t="shared" si="37"/>
        <v>0</v>
      </c>
      <c r="Q401" s="471"/>
    </row>
    <row r="402" spans="3:17">
      <c r="C402" s="505">
        <f>IF(D355="","-",+C401+1)</f>
        <v>2054</v>
      </c>
      <c r="D402" s="469">
        <f t="shared" si="38"/>
        <v>260378.5282341312</v>
      </c>
      <c r="E402" s="511">
        <f t="shared" si="39"/>
        <v>135849.66690476189</v>
      </c>
      <c r="F402" s="511">
        <f t="shared" si="32"/>
        <v>124528.86132936931</v>
      </c>
      <c r="G402" s="469">
        <f t="shared" si="33"/>
        <v>192453.69478175027</v>
      </c>
      <c r="H402" s="506">
        <f>+J356*G402+E402</f>
        <v>164711.22910990045</v>
      </c>
      <c r="I402" s="512">
        <f>+J357*G402+E402</f>
        <v>164711.22910990045</v>
      </c>
      <c r="J402" s="509">
        <f t="shared" si="34"/>
        <v>0</v>
      </c>
      <c r="K402" s="509"/>
      <c r="L402" s="513"/>
      <c r="M402" s="509">
        <f t="shared" si="35"/>
        <v>0</v>
      </c>
      <c r="N402" s="513"/>
      <c r="O402" s="509">
        <f t="shared" si="36"/>
        <v>0</v>
      </c>
      <c r="P402" s="509">
        <f t="shared" si="37"/>
        <v>0</v>
      </c>
      <c r="Q402" s="471"/>
    </row>
    <row r="403" spans="3:17">
      <c r="C403" s="505">
        <f>IF(D355="","-",+C402+1)</f>
        <v>2055</v>
      </c>
      <c r="D403" s="469">
        <f t="shared" si="38"/>
        <v>124528.86132936931</v>
      </c>
      <c r="E403" s="511">
        <f t="shared" si="39"/>
        <v>124528.86132936931</v>
      </c>
      <c r="F403" s="511">
        <f t="shared" si="32"/>
        <v>0</v>
      </c>
      <c r="G403" s="469">
        <f t="shared" si="33"/>
        <v>62264.430664684653</v>
      </c>
      <c r="H403" s="506">
        <f>+J356*G403+E403</f>
        <v>133866.42557220836</v>
      </c>
      <c r="I403" s="512">
        <f>+J357*G403+E403</f>
        <v>133866.42557220836</v>
      </c>
      <c r="J403" s="509">
        <f t="shared" si="34"/>
        <v>0</v>
      </c>
      <c r="K403" s="509"/>
      <c r="L403" s="513"/>
      <c r="M403" s="509">
        <f t="shared" si="35"/>
        <v>0</v>
      </c>
      <c r="N403" s="513"/>
      <c r="O403" s="509">
        <f t="shared" si="36"/>
        <v>0</v>
      </c>
      <c r="P403" s="509">
        <f t="shared" si="37"/>
        <v>0</v>
      </c>
      <c r="Q403" s="471"/>
    </row>
    <row r="404" spans="3:17">
      <c r="C404" s="505">
        <f>IF(D355="","-",+C403+1)</f>
        <v>2056</v>
      </c>
      <c r="D404" s="469">
        <f t="shared" si="38"/>
        <v>0</v>
      </c>
      <c r="E404" s="511">
        <f t="shared" si="39"/>
        <v>0</v>
      </c>
      <c r="F404" s="511">
        <f t="shared" si="32"/>
        <v>0</v>
      </c>
      <c r="G404" s="469">
        <f t="shared" si="33"/>
        <v>0</v>
      </c>
      <c r="H404" s="506">
        <f>+J356*G404+E404</f>
        <v>0</v>
      </c>
      <c r="I404" s="512">
        <f>+J357*G404+E404</f>
        <v>0</v>
      </c>
      <c r="J404" s="509">
        <f t="shared" si="34"/>
        <v>0</v>
      </c>
      <c r="K404" s="509"/>
      <c r="L404" s="513"/>
      <c r="M404" s="509">
        <f t="shared" si="35"/>
        <v>0</v>
      </c>
      <c r="N404" s="513"/>
      <c r="O404" s="509">
        <f t="shared" si="36"/>
        <v>0</v>
      </c>
      <c r="P404" s="509">
        <f t="shared" si="37"/>
        <v>0</v>
      </c>
      <c r="Q404" s="471"/>
    </row>
    <row r="405" spans="3:17">
      <c r="C405" s="505">
        <f>IF(D355="","-",+C404+1)</f>
        <v>2057</v>
      </c>
      <c r="D405" s="469">
        <f t="shared" si="38"/>
        <v>0</v>
      </c>
      <c r="E405" s="511">
        <f t="shared" si="39"/>
        <v>0</v>
      </c>
      <c r="F405" s="511">
        <f t="shared" si="32"/>
        <v>0</v>
      </c>
      <c r="G405" s="469">
        <f t="shared" si="33"/>
        <v>0</v>
      </c>
      <c r="H405" s="506">
        <f>+J356*G405+E405</f>
        <v>0</v>
      </c>
      <c r="I405" s="512">
        <f>+J357*G405+E405</f>
        <v>0</v>
      </c>
      <c r="J405" s="509">
        <f t="shared" si="34"/>
        <v>0</v>
      </c>
      <c r="K405" s="509"/>
      <c r="L405" s="513"/>
      <c r="M405" s="509">
        <f t="shared" si="35"/>
        <v>0</v>
      </c>
      <c r="N405" s="513"/>
      <c r="O405" s="509">
        <f t="shared" si="36"/>
        <v>0</v>
      </c>
      <c r="P405" s="509">
        <f t="shared" si="37"/>
        <v>0</v>
      </c>
      <c r="Q405" s="471"/>
    </row>
    <row r="406" spans="3:17">
      <c r="C406" s="505">
        <f>IF(D355="","-",+C405+1)</f>
        <v>2058</v>
      </c>
      <c r="D406" s="469">
        <f t="shared" si="38"/>
        <v>0</v>
      </c>
      <c r="E406" s="511">
        <f t="shared" si="39"/>
        <v>0</v>
      </c>
      <c r="F406" s="511">
        <f t="shared" si="32"/>
        <v>0</v>
      </c>
      <c r="G406" s="469">
        <f t="shared" si="33"/>
        <v>0</v>
      </c>
      <c r="H406" s="506">
        <f>+J356*G406+E406</f>
        <v>0</v>
      </c>
      <c r="I406" s="512">
        <f>+J357*G406+E406</f>
        <v>0</v>
      </c>
      <c r="J406" s="509">
        <f t="shared" si="34"/>
        <v>0</v>
      </c>
      <c r="K406" s="509"/>
      <c r="L406" s="513"/>
      <c r="M406" s="509">
        <f t="shared" si="35"/>
        <v>0</v>
      </c>
      <c r="N406" s="513"/>
      <c r="O406" s="509">
        <f t="shared" si="36"/>
        <v>0</v>
      </c>
      <c r="P406" s="509">
        <f t="shared" si="37"/>
        <v>0</v>
      </c>
      <c r="Q406" s="471"/>
    </row>
    <row r="407" spans="3:17">
      <c r="C407" s="505">
        <f>IF(D355="","-",+C406+1)</f>
        <v>2059</v>
      </c>
      <c r="D407" s="469">
        <f t="shared" si="38"/>
        <v>0</v>
      </c>
      <c r="E407" s="511">
        <f t="shared" si="39"/>
        <v>0</v>
      </c>
      <c r="F407" s="511">
        <f t="shared" si="32"/>
        <v>0</v>
      </c>
      <c r="G407" s="469">
        <f t="shared" si="33"/>
        <v>0</v>
      </c>
      <c r="H407" s="506">
        <f>+J356*G407+E407</f>
        <v>0</v>
      </c>
      <c r="I407" s="512">
        <f>+J357*G407+E407</f>
        <v>0</v>
      </c>
      <c r="J407" s="509">
        <f t="shared" si="34"/>
        <v>0</v>
      </c>
      <c r="K407" s="509"/>
      <c r="L407" s="513"/>
      <c r="M407" s="509">
        <f t="shared" si="35"/>
        <v>0</v>
      </c>
      <c r="N407" s="513"/>
      <c r="O407" s="509">
        <f t="shared" si="36"/>
        <v>0</v>
      </c>
      <c r="P407" s="509">
        <f t="shared" si="37"/>
        <v>0</v>
      </c>
      <c r="Q407" s="471"/>
    </row>
    <row r="408" spans="3:17">
      <c r="C408" s="505">
        <f>IF(D355="","-",+C407+1)</f>
        <v>2060</v>
      </c>
      <c r="D408" s="469">
        <f t="shared" si="38"/>
        <v>0</v>
      </c>
      <c r="E408" s="511">
        <f t="shared" si="39"/>
        <v>0</v>
      </c>
      <c r="F408" s="511">
        <f t="shared" si="32"/>
        <v>0</v>
      </c>
      <c r="G408" s="469">
        <f t="shared" si="33"/>
        <v>0</v>
      </c>
      <c r="H408" s="506">
        <f>+J356*G408+E408</f>
        <v>0</v>
      </c>
      <c r="I408" s="512">
        <f>+J357*G408+E408</f>
        <v>0</v>
      </c>
      <c r="J408" s="509">
        <f t="shared" si="34"/>
        <v>0</v>
      </c>
      <c r="K408" s="509"/>
      <c r="L408" s="513"/>
      <c r="M408" s="509">
        <f t="shared" si="35"/>
        <v>0</v>
      </c>
      <c r="N408" s="513"/>
      <c r="O408" s="509">
        <f t="shared" si="36"/>
        <v>0</v>
      </c>
      <c r="P408" s="509">
        <f t="shared" si="37"/>
        <v>0</v>
      </c>
      <c r="Q408" s="471"/>
    </row>
    <row r="409" spans="3:17">
      <c r="C409" s="505">
        <f>IF(D355="","-",+C408+1)</f>
        <v>2061</v>
      </c>
      <c r="D409" s="469">
        <f t="shared" si="38"/>
        <v>0</v>
      </c>
      <c r="E409" s="511">
        <f t="shared" si="39"/>
        <v>0</v>
      </c>
      <c r="F409" s="511">
        <f t="shared" si="32"/>
        <v>0</v>
      </c>
      <c r="G409" s="469">
        <f t="shared" si="33"/>
        <v>0</v>
      </c>
      <c r="H409" s="506">
        <f>+J356*G409+E409</f>
        <v>0</v>
      </c>
      <c r="I409" s="512">
        <f>+J357*G409+E409</f>
        <v>0</v>
      </c>
      <c r="J409" s="509">
        <f t="shared" si="34"/>
        <v>0</v>
      </c>
      <c r="K409" s="509"/>
      <c r="L409" s="513"/>
      <c r="M409" s="509">
        <f t="shared" si="35"/>
        <v>0</v>
      </c>
      <c r="N409" s="513"/>
      <c r="O409" s="509">
        <f t="shared" si="36"/>
        <v>0</v>
      </c>
      <c r="P409" s="509">
        <f t="shared" si="37"/>
        <v>0</v>
      </c>
      <c r="Q409" s="471"/>
    </row>
    <row r="410" spans="3:17">
      <c r="C410" s="505">
        <f>IF(D355="","-",+C409+1)</f>
        <v>2062</v>
      </c>
      <c r="D410" s="469">
        <f t="shared" si="38"/>
        <v>0</v>
      </c>
      <c r="E410" s="511">
        <f t="shared" si="39"/>
        <v>0</v>
      </c>
      <c r="F410" s="511">
        <f t="shared" si="32"/>
        <v>0</v>
      </c>
      <c r="G410" s="469">
        <f t="shared" si="33"/>
        <v>0</v>
      </c>
      <c r="H410" s="506">
        <f>+J356*G410+E410</f>
        <v>0</v>
      </c>
      <c r="I410" s="512">
        <f>+J357*G410+E410</f>
        <v>0</v>
      </c>
      <c r="J410" s="509">
        <f t="shared" si="34"/>
        <v>0</v>
      </c>
      <c r="K410" s="509"/>
      <c r="L410" s="513"/>
      <c r="M410" s="509">
        <f t="shared" si="35"/>
        <v>0</v>
      </c>
      <c r="N410" s="513"/>
      <c r="O410" s="509">
        <f t="shared" si="36"/>
        <v>0</v>
      </c>
      <c r="P410" s="509">
        <f t="shared" si="37"/>
        <v>0</v>
      </c>
      <c r="Q410" s="471"/>
    </row>
    <row r="411" spans="3:17">
      <c r="C411" s="505">
        <f>IF(D355="","-",+C410+1)</f>
        <v>2063</v>
      </c>
      <c r="D411" s="469">
        <f t="shared" si="38"/>
        <v>0</v>
      </c>
      <c r="E411" s="511">
        <f t="shared" si="39"/>
        <v>0</v>
      </c>
      <c r="F411" s="511">
        <f t="shared" si="32"/>
        <v>0</v>
      </c>
      <c r="G411" s="469">
        <f t="shared" si="33"/>
        <v>0</v>
      </c>
      <c r="H411" s="506">
        <f>+J356*G411+E411</f>
        <v>0</v>
      </c>
      <c r="I411" s="512">
        <f>+J357*G411+E411</f>
        <v>0</v>
      </c>
      <c r="J411" s="509">
        <f t="shared" si="34"/>
        <v>0</v>
      </c>
      <c r="K411" s="509"/>
      <c r="L411" s="513"/>
      <c r="M411" s="509">
        <f t="shared" si="35"/>
        <v>0</v>
      </c>
      <c r="N411" s="513"/>
      <c r="O411" s="509">
        <f t="shared" si="36"/>
        <v>0</v>
      </c>
      <c r="P411" s="509">
        <f t="shared" si="37"/>
        <v>0</v>
      </c>
      <c r="Q411" s="471"/>
    </row>
    <row r="412" spans="3:17">
      <c r="C412" s="505">
        <f>IF(D355="","-",+C411+1)</f>
        <v>2064</v>
      </c>
      <c r="D412" s="469">
        <f t="shared" si="38"/>
        <v>0</v>
      </c>
      <c r="E412" s="511">
        <f t="shared" si="39"/>
        <v>0</v>
      </c>
      <c r="F412" s="511">
        <f t="shared" si="32"/>
        <v>0</v>
      </c>
      <c r="G412" s="469">
        <f t="shared" si="33"/>
        <v>0</v>
      </c>
      <c r="H412" s="506">
        <f>+J356*G412+E412</f>
        <v>0</v>
      </c>
      <c r="I412" s="512">
        <f>+J357*G412+E412</f>
        <v>0</v>
      </c>
      <c r="J412" s="509">
        <f t="shared" si="34"/>
        <v>0</v>
      </c>
      <c r="K412" s="509"/>
      <c r="L412" s="513"/>
      <c r="M412" s="509">
        <f t="shared" si="35"/>
        <v>0</v>
      </c>
      <c r="N412" s="513"/>
      <c r="O412" s="509">
        <f t="shared" si="36"/>
        <v>0</v>
      </c>
      <c r="P412" s="509">
        <f t="shared" si="37"/>
        <v>0</v>
      </c>
      <c r="Q412" s="471"/>
    </row>
    <row r="413" spans="3:17">
      <c r="C413" s="505">
        <f>IF(D355="","-",+C412+1)</f>
        <v>2065</v>
      </c>
      <c r="D413" s="469">
        <f t="shared" si="38"/>
        <v>0</v>
      </c>
      <c r="E413" s="511">
        <f t="shared" si="39"/>
        <v>0</v>
      </c>
      <c r="F413" s="511">
        <f t="shared" si="32"/>
        <v>0</v>
      </c>
      <c r="G413" s="469">
        <f t="shared" si="33"/>
        <v>0</v>
      </c>
      <c r="H413" s="506">
        <f>+J356*G413+E413</f>
        <v>0</v>
      </c>
      <c r="I413" s="512">
        <f>+J357*G413+E413</f>
        <v>0</v>
      </c>
      <c r="J413" s="509">
        <f t="shared" si="34"/>
        <v>0</v>
      </c>
      <c r="K413" s="509"/>
      <c r="L413" s="513"/>
      <c r="M413" s="509">
        <f t="shared" si="35"/>
        <v>0</v>
      </c>
      <c r="N413" s="513"/>
      <c r="O413" s="509">
        <f t="shared" si="36"/>
        <v>0</v>
      </c>
      <c r="P413" s="509">
        <f t="shared" si="37"/>
        <v>0</v>
      </c>
      <c r="Q413" s="471"/>
    </row>
    <row r="414" spans="3:17">
      <c r="C414" s="505">
        <f>IF(D355="","-",+C413+1)</f>
        <v>2066</v>
      </c>
      <c r="D414" s="469">
        <f t="shared" si="38"/>
        <v>0</v>
      </c>
      <c r="E414" s="511">
        <f t="shared" si="39"/>
        <v>0</v>
      </c>
      <c r="F414" s="511">
        <f t="shared" si="32"/>
        <v>0</v>
      </c>
      <c r="G414" s="469">
        <f t="shared" si="33"/>
        <v>0</v>
      </c>
      <c r="H414" s="506">
        <f>+J356*G414+E414</f>
        <v>0</v>
      </c>
      <c r="I414" s="512">
        <f>+J357*G414+E414</f>
        <v>0</v>
      </c>
      <c r="J414" s="509">
        <f t="shared" si="34"/>
        <v>0</v>
      </c>
      <c r="K414" s="509"/>
      <c r="L414" s="513"/>
      <c r="M414" s="509">
        <f t="shared" si="35"/>
        <v>0</v>
      </c>
      <c r="N414" s="513"/>
      <c r="O414" s="509">
        <f t="shared" si="36"/>
        <v>0</v>
      </c>
      <c r="P414" s="509">
        <f t="shared" si="37"/>
        <v>0</v>
      </c>
      <c r="Q414" s="471"/>
    </row>
    <row r="415" spans="3:17">
      <c r="C415" s="505">
        <f>IF(D355="","-",+C414+1)</f>
        <v>2067</v>
      </c>
      <c r="D415" s="469">
        <f t="shared" si="38"/>
        <v>0</v>
      </c>
      <c r="E415" s="511">
        <f t="shared" si="39"/>
        <v>0</v>
      </c>
      <c r="F415" s="511">
        <f t="shared" si="32"/>
        <v>0</v>
      </c>
      <c r="G415" s="469">
        <f t="shared" si="33"/>
        <v>0</v>
      </c>
      <c r="H415" s="506">
        <f>+J356*G415+E415</f>
        <v>0</v>
      </c>
      <c r="I415" s="512">
        <f>+J357*G415+E415</f>
        <v>0</v>
      </c>
      <c r="J415" s="509">
        <f t="shared" si="34"/>
        <v>0</v>
      </c>
      <c r="K415" s="509"/>
      <c r="L415" s="513"/>
      <c r="M415" s="509">
        <f t="shared" si="35"/>
        <v>0</v>
      </c>
      <c r="N415" s="513"/>
      <c r="O415" s="509">
        <f t="shared" si="36"/>
        <v>0</v>
      </c>
      <c r="P415" s="509">
        <f t="shared" si="37"/>
        <v>0</v>
      </c>
      <c r="Q415" s="471"/>
    </row>
    <row r="416" spans="3:17">
      <c r="C416" s="505">
        <f>IF(D355="","-",+C415+1)</f>
        <v>2068</v>
      </c>
      <c r="D416" s="469">
        <f t="shared" si="38"/>
        <v>0</v>
      </c>
      <c r="E416" s="511">
        <f t="shared" si="39"/>
        <v>0</v>
      </c>
      <c r="F416" s="511">
        <f t="shared" si="32"/>
        <v>0</v>
      </c>
      <c r="G416" s="469">
        <f t="shared" si="33"/>
        <v>0</v>
      </c>
      <c r="H416" s="506">
        <f>+J356*G416+E416</f>
        <v>0</v>
      </c>
      <c r="I416" s="512">
        <f>+J357*G416+E416</f>
        <v>0</v>
      </c>
      <c r="J416" s="509">
        <f t="shared" si="34"/>
        <v>0</v>
      </c>
      <c r="K416" s="509"/>
      <c r="L416" s="513"/>
      <c r="M416" s="509">
        <f t="shared" si="35"/>
        <v>0</v>
      </c>
      <c r="N416" s="513"/>
      <c r="O416" s="509">
        <f t="shared" si="36"/>
        <v>0</v>
      </c>
      <c r="P416" s="509">
        <f t="shared" si="37"/>
        <v>0</v>
      </c>
      <c r="Q416" s="471"/>
    </row>
    <row r="417" spans="1:17">
      <c r="C417" s="505">
        <f>IF(D355="","-",+C416+1)</f>
        <v>2069</v>
      </c>
      <c r="D417" s="469">
        <f t="shared" si="38"/>
        <v>0</v>
      </c>
      <c r="E417" s="511">
        <f t="shared" si="39"/>
        <v>0</v>
      </c>
      <c r="F417" s="511">
        <f t="shared" si="32"/>
        <v>0</v>
      </c>
      <c r="G417" s="469">
        <f t="shared" si="33"/>
        <v>0</v>
      </c>
      <c r="H417" s="506">
        <f>+J356*G417+E417</f>
        <v>0</v>
      </c>
      <c r="I417" s="512">
        <f>+J357*G417+E417</f>
        <v>0</v>
      </c>
      <c r="J417" s="509">
        <f t="shared" si="34"/>
        <v>0</v>
      </c>
      <c r="K417" s="509"/>
      <c r="L417" s="513"/>
      <c r="M417" s="509">
        <f t="shared" si="35"/>
        <v>0</v>
      </c>
      <c r="N417" s="513"/>
      <c r="O417" s="509">
        <f t="shared" si="36"/>
        <v>0</v>
      </c>
      <c r="P417" s="509">
        <f t="shared" si="37"/>
        <v>0</v>
      </c>
      <c r="Q417" s="471"/>
    </row>
    <row r="418" spans="1:17">
      <c r="C418" s="505">
        <f>IF(D355="","-",+C417+1)</f>
        <v>2070</v>
      </c>
      <c r="D418" s="469">
        <f t="shared" si="38"/>
        <v>0</v>
      </c>
      <c r="E418" s="511">
        <f t="shared" si="39"/>
        <v>0</v>
      </c>
      <c r="F418" s="511">
        <f t="shared" si="32"/>
        <v>0</v>
      </c>
      <c r="G418" s="469">
        <f t="shared" si="33"/>
        <v>0</v>
      </c>
      <c r="H418" s="506">
        <f>+J356*G418+E418</f>
        <v>0</v>
      </c>
      <c r="I418" s="512">
        <f>+J357*G418+E418</f>
        <v>0</v>
      </c>
      <c r="J418" s="509">
        <f t="shared" si="34"/>
        <v>0</v>
      </c>
      <c r="K418" s="509"/>
      <c r="L418" s="513"/>
      <c r="M418" s="509">
        <f t="shared" si="35"/>
        <v>0</v>
      </c>
      <c r="N418" s="513"/>
      <c r="O418" s="509">
        <f t="shared" si="36"/>
        <v>0</v>
      </c>
      <c r="P418" s="509">
        <f t="shared" si="37"/>
        <v>0</v>
      </c>
      <c r="Q418" s="471"/>
    </row>
    <row r="419" spans="1:17">
      <c r="C419" s="505">
        <f>IF(D355="","-",+C418+1)</f>
        <v>2071</v>
      </c>
      <c r="D419" s="469">
        <f t="shared" si="38"/>
        <v>0</v>
      </c>
      <c r="E419" s="511">
        <f t="shared" si="39"/>
        <v>0</v>
      </c>
      <c r="F419" s="511">
        <f t="shared" si="32"/>
        <v>0</v>
      </c>
      <c r="G419" s="469">
        <f t="shared" si="33"/>
        <v>0</v>
      </c>
      <c r="H419" s="506">
        <f>+J356*G419+E419</f>
        <v>0</v>
      </c>
      <c r="I419" s="512">
        <f>+J357*G419+E419</f>
        <v>0</v>
      </c>
      <c r="J419" s="509">
        <f t="shared" si="34"/>
        <v>0</v>
      </c>
      <c r="K419" s="509"/>
      <c r="L419" s="513"/>
      <c r="M419" s="509">
        <f t="shared" si="35"/>
        <v>0</v>
      </c>
      <c r="N419" s="513"/>
      <c r="O419" s="509">
        <f t="shared" si="36"/>
        <v>0</v>
      </c>
      <c r="P419" s="509">
        <f t="shared" si="37"/>
        <v>0</v>
      </c>
      <c r="Q419" s="471"/>
    </row>
    <row r="420" spans="1:17" ht="13.5" thickBot="1">
      <c r="C420" s="515">
        <f>IF(D355="","-",+C419+1)</f>
        <v>2072</v>
      </c>
      <c r="D420" s="516">
        <f t="shared" si="38"/>
        <v>0</v>
      </c>
      <c r="E420" s="976">
        <f t="shared" si="39"/>
        <v>0</v>
      </c>
      <c r="F420" s="517">
        <f t="shared" si="32"/>
        <v>0</v>
      </c>
      <c r="G420" s="516">
        <f t="shared" si="33"/>
        <v>0</v>
      </c>
      <c r="H420" s="518">
        <f>+J356*G420+E420</f>
        <v>0</v>
      </c>
      <c r="I420" s="518">
        <f>+J357*G420+E420</f>
        <v>0</v>
      </c>
      <c r="J420" s="519">
        <f t="shared" si="34"/>
        <v>0</v>
      </c>
      <c r="K420" s="509"/>
      <c r="L420" s="520"/>
      <c r="M420" s="519">
        <f t="shared" si="35"/>
        <v>0</v>
      </c>
      <c r="N420" s="520"/>
      <c r="O420" s="519">
        <f t="shared" si="36"/>
        <v>0</v>
      </c>
      <c r="P420" s="519">
        <f t="shared" si="37"/>
        <v>0</v>
      </c>
      <c r="Q420" s="471"/>
    </row>
    <row r="421" spans="1:17">
      <c r="C421" s="469" t="s">
        <v>288</v>
      </c>
      <c r="D421" s="467"/>
      <c r="E421" s="467">
        <f>SUM(E361:E420)</f>
        <v>5705686.0099999998</v>
      </c>
      <c r="F421" s="467"/>
      <c r="G421" s="467"/>
      <c r="H421" s="467">
        <f>SUM(H361:H420)</f>
        <v>24458910.487526715</v>
      </c>
      <c r="I421" s="467">
        <f>SUM(I361:I420)</f>
        <v>24458910.487526715</v>
      </c>
      <c r="J421" s="467">
        <f>SUM(J361:J420)</f>
        <v>0</v>
      </c>
      <c r="K421" s="467"/>
      <c r="L421" s="467"/>
      <c r="M421" s="467"/>
      <c r="N421" s="467"/>
      <c r="O421" s="467"/>
      <c r="Q421" s="467"/>
    </row>
    <row r="422" spans="1:17">
      <c r="D422" s="79"/>
      <c r="E422" s="4"/>
      <c r="F422" s="4"/>
      <c r="G422" s="4"/>
      <c r="H422" s="4"/>
      <c r="I422" s="452"/>
      <c r="J422" s="452"/>
      <c r="K422" s="467"/>
      <c r="L422" s="452"/>
      <c r="M422" s="452"/>
      <c r="N422" s="452"/>
      <c r="O422" s="452"/>
      <c r="Q422" s="467"/>
    </row>
    <row r="423" spans="1:17">
      <c r="C423" s="4" t="s">
        <v>595</v>
      </c>
      <c r="D423" s="79"/>
      <c r="E423" s="4"/>
      <c r="F423" s="4"/>
      <c r="G423" s="4"/>
      <c r="H423" s="4"/>
      <c r="I423" s="452"/>
      <c r="J423" s="452"/>
      <c r="K423" s="467"/>
      <c r="L423" s="452"/>
      <c r="M423" s="452"/>
      <c r="N423" s="452"/>
      <c r="O423" s="452"/>
      <c r="Q423" s="467"/>
    </row>
    <row r="424" spans="1:17">
      <c r="D424" s="79"/>
      <c r="E424" s="4"/>
      <c r="F424" s="4"/>
      <c r="G424" s="4"/>
      <c r="H424" s="4"/>
      <c r="I424" s="452"/>
      <c r="J424" s="452"/>
      <c r="K424" s="467"/>
      <c r="L424" s="452"/>
      <c r="M424" s="452"/>
      <c r="N424" s="452"/>
      <c r="O424" s="452"/>
      <c r="Q424" s="467"/>
    </row>
    <row r="425" spans="1:17">
      <c r="C425" s="4" t="s">
        <v>596</v>
      </c>
      <c r="D425" s="469"/>
      <c r="E425" s="469"/>
      <c r="F425" s="469"/>
      <c r="G425" s="469"/>
      <c r="H425" s="467"/>
      <c r="I425" s="467"/>
      <c r="J425" s="471"/>
      <c r="K425" s="471"/>
      <c r="L425" s="471"/>
      <c r="M425" s="471"/>
      <c r="N425" s="471"/>
      <c r="O425" s="471"/>
      <c r="Q425" s="471"/>
    </row>
    <row r="426" spans="1:17">
      <c r="C426" s="4" t="s">
        <v>476</v>
      </c>
      <c r="D426" s="469"/>
      <c r="E426" s="469"/>
      <c r="F426" s="469"/>
      <c r="G426" s="469"/>
      <c r="H426" s="467"/>
      <c r="I426" s="467"/>
      <c r="J426" s="471"/>
      <c r="K426" s="471"/>
      <c r="L426" s="471"/>
      <c r="M426" s="471"/>
      <c r="N426" s="471"/>
      <c r="O426" s="471"/>
      <c r="Q426" s="471"/>
    </row>
    <row r="427" spans="1:17">
      <c r="C427" s="4" t="s">
        <v>289</v>
      </c>
      <c r="D427" s="469"/>
      <c r="E427" s="469"/>
      <c r="F427" s="469"/>
      <c r="G427" s="469"/>
      <c r="H427" s="467"/>
      <c r="I427" s="467"/>
      <c r="J427" s="471"/>
      <c r="K427" s="471"/>
      <c r="L427" s="471"/>
      <c r="M427" s="471"/>
      <c r="N427" s="471"/>
      <c r="O427" s="471"/>
      <c r="Q427" s="471"/>
    </row>
    <row r="428" spans="1:17" ht="22.5" customHeight="1">
      <c r="A428" s="411" t="s">
        <v>762</v>
      </c>
      <c r="B428" s="4"/>
      <c r="C428" s="4"/>
      <c r="D428" s="79"/>
      <c r="E428" s="4"/>
      <c r="F428" s="81"/>
      <c r="G428" s="81"/>
      <c r="H428" s="4"/>
      <c r="I428" s="452"/>
      <c r="L428" s="11"/>
      <c r="M428" s="11"/>
      <c r="N428" s="11"/>
      <c r="O428" s="11" t="str">
        <f>"Page "&amp;SUM(Q$3:Q428)&amp;" of "</f>
        <v xml:space="preserve">Page 6 of </v>
      </c>
      <c r="P428" s="412">
        <f>COUNT(Q$8:Q$58212)</f>
        <v>23</v>
      </c>
      <c r="Q428" s="539">
        <v>1</v>
      </c>
    </row>
    <row r="429" spans="1:17">
      <c r="B429" s="4"/>
      <c r="C429" s="4"/>
      <c r="D429" s="79"/>
      <c r="E429" s="4"/>
      <c r="F429" s="4"/>
      <c r="G429" s="4"/>
      <c r="H429" s="4"/>
      <c r="I429" s="452"/>
      <c r="J429" s="4"/>
      <c r="K429" s="4"/>
    </row>
    <row r="430" spans="1:17" ht="18">
      <c r="B430" s="413" t="s">
        <v>174</v>
      </c>
      <c r="C430" s="472" t="s">
        <v>290</v>
      </c>
      <c r="D430" s="79"/>
      <c r="E430" s="4"/>
      <c r="F430" s="4"/>
      <c r="G430" s="4"/>
      <c r="H430" s="4"/>
      <c r="I430" s="452"/>
      <c r="J430" s="452"/>
      <c r="K430" s="467"/>
      <c r="L430" s="452"/>
      <c r="M430" s="452"/>
      <c r="N430" s="452"/>
      <c r="O430" s="452"/>
      <c r="Q430" s="467"/>
    </row>
    <row r="431" spans="1:17" ht="18.75">
      <c r="B431" s="413"/>
      <c r="C431" s="13"/>
      <c r="D431" s="79"/>
      <c r="E431" s="4"/>
      <c r="F431" s="4"/>
      <c r="G431" s="4"/>
      <c r="H431" s="4"/>
      <c r="I431" s="452"/>
      <c r="J431" s="452"/>
      <c r="K431" s="467"/>
      <c r="L431" s="452"/>
      <c r="M431" s="452"/>
      <c r="N431" s="452"/>
      <c r="O431" s="452"/>
      <c r="Q431" s="467"/>
    </row>
    <row r="432" spans="1:17" ht="18.75">
      <c r="B432" s="413"/>
      <c r="C432" s="13" t="s">
        <v>291</v>
      </c>
      <c r="D432" s="79"/>
      <c r="E432" s="4"/>
      <c r="F432" s="4"/>
      <c r="G432" s="4"/>
      <c r="H432" s="4"/>
      <c r="I432" s="452"/>
      <c r="J432" s="452"/>
      <c r="K432" s="467"/>
      <c r="L432" s="452"/>
      <c r="M432" s="452"/>
      <c r="N432" s="452"/>
      <c r="O432" s="452"/>
      <c r="Q432" s="467"/>
    </row>
    <row r="433" spans="1:17" ht="15.75" thickBot="1">
      <c r="C433" s="247"/>
      <c r="D433" s="79"/>
      <c r="E433" s="4"/>
      <c r="F433" s="4"/>
      <c r="G433" s="4"/>
      <c r="H433" s="4"/>
      <c r="I433" s="452"/>
      <c r="J433" s="452"/>
      <c r="K433" s="467"/>
      <c r="L433" s="452"/>
      <c r="M433" s="452"/>
      <c r="N433" s="452"/>
      <c r="O433" s="452"/>
      <c r="Q433" s="467"/>
    </row>
    <row r="434" spans="1:17" ht="15.75">
      <c r="C434" s="414" t="s">
        <v>292</v>
      </c>
      <c r="D434" s="79"/>
      <c r="E434" s="4"/>
      <c r="F434" s="4"/>
      <c r="G434" s="4"/>
      <c r="H434" s="635"/>
      <c r="I434" s="4" t="s">
        <v>271</v>
      </c>
      <c r="J434" s="4"/>
      <c r="K434" s="4"/>
      <c r="L434" s="540">
        <f>+J440</f>
        <v>2025</v>
      </c>
      <c r="M434" s="524" t="s">
        <v>254</v>
      </c>
      <c r="N434" s="524" t="s">
        <v>255</v>
      </c>
      <c r="O434" s="525" t="s">
        <v>256</v>
      </c>
    </row>
    <row r="435" spans="1:17" ht="15.75">
      <c r="C435" s="414"/>
      <c r="D435" s="79"/>
      <c r="E435" s="4"/>
      <c r="F435" s="4"/>
      <c r="H435" s="4"/>
      <c r="I435" s="476"/>
      <c r="J435" s="476"/>
      <c r="K435" s="477"/>
      <c r="L435" s="541" t="s">
        <v>455</v>
      </c>
      <c r="M435" s="542">
        <f>VLOOKUP(J440,C447:P506,10)</f>
        <v>270033.92897046253</v>
      </c>
      <c r="N435" s="542">
        <f>VLOOKUP(J440,C447:P506,12)</f>
        <v>270033.92897046253</v>
      </c>
      <c r="O435" s="543">
        <f>+N435-M435</f>
        <v>0</v>
      </c>
      <c r="Q435" s="477"/>
    </row>
    <row r="436" spans="1:17" ht="12.95" customHeight="1">
      <c r="C436" s="479" t="s">
        <v>293</v>
      </c>
      <c r="D436" s="1274" t="s">
        <v>928</v>
      </c>
      <c r="E436" s="1274"/>
      <c r="F436" s="1274"/>
      <c r="G436" s="1274"/>
      <c r="H436" s="1274"/>
      <c r="I436" s="1274"/>
      <c r="J436" s="452"/>
      <c r="K436" s="467"/>
      <c r="L436" s="541" t="s">
        <v>456</v>
      </c>
      <c r="M436" s="544">
        <f>VLOOKUP(J440,C447:P506,6)</f>
        <v>277232.19688420603</v>
      </c>
      <c r="N436" s="544">
        <f>VLOOKUP(J440,C447:P506,7)</f>
        <v>277232.19688420603</v>
      </c>
      <c r="O436" s="545">
        <f>+N436-M436</f>
        <v>0</v>
      </c>
      <c r="Q436" s="467"/>
    </row>
    <row r="437" spans="1:17" ht="13.5" thickBot="1">
      <c r="C437" s="481"/>
      <c r="D437" s="1274" t="s">
        <v>114</v>
      </c>
      <c r="E437" s="1274"/>
      <c r="F437" s="1274"/>
      <c r="G437" s="1274"/>
      <c r="H437" s="1274"/>
      <c r="I437" s="1274"/>
      <c r="J437" s="452"/>
      <c r="K437" s="467"/>
      <c r="L437" s="492" t="s">
        <v>457</v>
      </c>
      <c r="M437" s="546">
        <f>+M436-M435</f>
        <v>7198.2679137435043</v>
      </c>
      <c r="N437" s="546">
        <f>+N436-N435</f>
        <v>7198.2679137435043</v>
      </c>
      <c r="O437" s="547">
        <f>+O436-O435</f>
        <v>0</v>
      </c>
      <c r="Q437" s="467"/>
    </row>
    <row r="438" spans="1:17" ht="13.5" thickBot="1">
      <c r="C438" s="481"/>
      <c r="D438" s="4"/>
      <c r="E438" s="483"/>
      <c r="F438" s="483"/>
      <c r="G438" s="483"/>
      <c r="H438" s="483"/>
      <c r="I438" s="483"/>
      <c r="J438" s="483"/>
      <c r="K438" s="483"/>
      <c r="L438" s="483"/>
      <c r="M438" s="483"/>
      <c r="N438" s="483"/>
      <c r="O438" s="483"/>
      <c r="Q438" s="483"/>
    </row>
    <row r="439" spans="1:17" ht="13.5" thickBot="1">
      <c r="C439" s="484" t="s">
        <v>294</v>
      </c>
      <c r="D439" s="485"/>
      <c r="E439" s="485"/>
      <c r="F439" s="485"/>
      <c r="G439" s="485"/>
      <c r="H439" s="485"/>
      <c r="I439" s="485"/>
      <c r="J439" s="485"/>
      <c r="Q439"/>
    </row>
    <row r="440" spans="1:17" ht="15">
      <c r="A440" s="977"/>
      <c r="C440" s="487" t="s">
        <v>272</v>
      </c>
      <c r="D440" s="926">
        <v>2088950.94</v>
      </c>
      <c r="E440" s="4" t="s">
        <v>273</v>
      </c>
      <c r="H440" s="79"/>
      <c r="I440" s="79"/>
      <c r="J440" s="488">
        <f>$J$95</f>
        <v>2025</v>
      </c>
      <c r="K440" s="135"/>
      <c r="L440" s="1287" t="s">
        <v>274</v>
      </c>
      <c r="M440" s="1287"/>
      <c r="N440" s="1287"/>
      <c r="O440" s="1287"/>
      <c r="Q440" s="135"/>
    </row>
    <row r="441" spans="1:17">
      <c r="A441" s="977"/>
      <c r="C441" s="487" t="s">
        <v>275</v>
      </c>
      <c r="D441" s="644">
        <v>2013</v>
      </c>
      <c r="E441" s="487" t="s">
        <v>276</v>
      </c>
      <c r="F441" s="79"/>
      <c r="G441" s="79"/>
      <c r="I441"/>
      <c r="J441" s="638">
        <v>0</v>
      </c>
      <c r="K441" s="489"/>
      <c r="L441" s="467" t="s">
        <v>475</v>
      </c>
      <c r="Q441" s="489"/>
    </row>
    <row r="442" spans="1:17">
      <c r="A442" s="977"/>
      <c r="C442" s="487" t="s">
        <v>277</v>
      </c>
      <c r="D442" s="952">
        <v>12</v>
      </c>
      <c r="E442" s="487" t="s">
        <v>278</v>
      </c>
      <c r="F442" s="79"/>
      <c r="G442" s="79"/>
      <c r="I442"/>
      <c r="J442" s="490">
        <f>$F$70</f>
        <v>0.14996626714737105</v>
      </c>
      <c r="K442" s="81"/>
      <c r="L442" s="4" t="str">
        <f>"          INPUT TRUE-UP ARR (WITH &amp; WITHOUT INCENTIVES) FROM EACH PRIOR YEAR"</f>
        <v xml:space="preserve">          INPUT TRUE-UP ARR (WITH &amp; WITHOUT INCENTIVES) FROM EACH PRIOR YEAR</v>
      </c>
      <c r="Q442" s="81"/>
    </row>
    <row r="443" spans="1:17">
      <c r="A443" s="977"/>
      <c r="C443" s="487" t="s">
        <v>279</v>
      </c>
      <c r="D443" s="491">
        <f>H79</f>
        <v>42</v>
      </c>
      <c r="E443" s="487" t="s">
        <v>280</v>
      </c>
      <c r="F443" s="79"/>
      <c r="G443" s="79"/>
      <c r="I443"/>
      <c r="J443" s="490">
        <f>IF(H434="",J442,$F$69)</f>
        <v>0.14996626714737105</v>
      </c>
      <c r="K443" s="81"/>
      <c r="L443" s="4" t="s">
        <v>362</v>
      </c>
      <c r="M443" s="81"/>
      <c r="N443" s="81"/>
      <c r="O443" s="81"/>
      <c r="Q443" s="81"/>
    </row>
    <row r="444" spans="1:17" ht="13.5" thickBot="1">
      <c r="A444" s="977"/>
      <c r="C444" s="487" t="s">
        <v>281</v>
      </c>
      <c r="D444" s="637" t="s">
        <v>923</v>
      </c>
      <c r="E444" s="492" t="s">
        <v>282</v>
      </c>
      <c r="F444" s="493"/>
      <c r="G444" s="493"/>
      <c r="H444" s="494"/>
      <c r="I444" s="494"/>
      <c r="J444" s="480">
        <f>IF(D440=0,0,D440/D443)</f>
        <v>49736.927142857145</v>
      </c>
      <c r="K444" s="467"/>
      <c r="L444" s="467" t="s">
        <v>363</v>
      </c>
      <c r="M444" s="467"/>
      <c r="N444" s="467"/>
      <c r="O444" s="467"/>
      <c r="Q444" s="467"/>
    </row>
    <row r="445" spans="1:17" ht="38.25">
      <c r="A445" s="12"/>
      <c r="B445" s="12"/>
      <c r="C445" s="495" t="s">
        <v>272</v>
      </c>
      <c r="D445" s="496" t="s">
        <v>283</v>
      </c>
      <c r="E445" s="497" t="s">
        <v>284</v>
      </c>
      <c r="F445" s="496" t="s">
        <v>285</v>
      </c>
      <c r="G445" s="496" t="s">
        <v>458</v>
      </c>
      <c r="H445" s="497" t="s">
        <v>356</v>
      </c>
      <c r="I445" s="498" t="s">
        <v>356</v>
      </c>
      <c r="J445" s="495" t="s">
        <v>295</v>
      </c>
      <c r="K445" s="499"/>
      <c r="L445" s="497" t="s">
        <v>358</v>
      </c>
      <c r="M445" s="497" t="s">
        <v>364</v>
      </c>
      <c r="N445" s="497" t="s">
        <v>358</v>
      </c>
      <c r="O445" s="497" t="s">
        <v>366</v>
      </c>
      <c r="P445" s="497" t="s">
        <v>286</v>
      </c>
      <c r="Q445" s="128"/>
    </row>
    <row r="446" spans="1:17" ht="13.5" thickBot="1">
      <c r="C446" s="500" t="s">
        <v>177</v>
      </c>
      <c r="D446" s="501" t="s">
        <v>178</v>
      </c>
      <c r="E446" s="500" t="s">
        <v>37</v>
      </c>
      <c r="F446" s="501" t="s">
        <v>178</v>
      </c>
      <c r="G446" s="501" t="s">
        <v>178</v>
      </c>
      <c r="H446" s="502" t="s">
        <v>298</v>
      </c>
      <c r="I446" s="503" t="s">
        <v>300</v>
      </c>
      <c r="J446" s="500" t="s">
        <v>389</v>
      </c>
      <c r="K446" s="504"/>
      <c r="L446" s="502" t="s">
        <v>287</v>
      </c>
      <c r="M446" s="502" t="s">
        <v>287</v>
      </c>
      <c r="N446" s="502" t="s">
        <v>467</v>
      </c>
      <c r="O446" s="502" t="s">
        <v>467</v>
      </c>
      <c r="P446" s="502" t="s">
        <v>467</v>
      </c>
      <c r="Q446" s="135"/>
    </row>
    <row r="447" spans="1:17">
      <c r="C447" s="505">
        <f>IF(D441= "","-",D441)</f>
        <v>2013</v>
      </c>
      <c r="D447" s="469">
        <f>+D440</f>
        <v>2088950.94</v>
      </c>
      <c r="E447" s="506">
        <f>+J444/12*(12-D442)</f>
        <v>0</v>
      </c>
      <c r="F447" s="548">
        <f t="shared" ref="F447:F506" si="40">+D447-E447</f>
        <v>2088950.94</v>
      </c>
      <c r="G447" s="469">
        <f t="shared" ref="G447:G506" si="41">+(D447+F447)/2</f>
        <v>2088950.94</v>
      </c>
      <c r="H447" s="507">
        <f>+J442*G447+E447</f>
        <v>313272.17472579185</v>
      </c>
      <c r="I447" s="508">
        <f>+J443*G447+E447</f>
        <v>313272.17472579185</v>
      </c>
      <c r="J447" s="509">
        <f t="shared" ref="J447:J506" si="42">+I447-H447</f>
        <v>0</v>
      </c>
      <c r="K447" s="509"/>
      <c r="L447" s="513">
        <v>424916</v>
      </c>
      <c r="M447" s="549">
        <f t="shared" ref="M447:M506" si="43">IF(L447&lt;&gt;0,+H447-L447,0)</f>
        <v>-111643.82527420815</v>
      </c>
      <c r="N447" s="513">
        <v>424916</v>
      </c>
      <c r="O447" s="549">
        <f t="shared" ref="O447:O506" si="44">IF(N447&lt;&gt;0,+I447-N447,0)</f>
        <v>-111643.82527420815</v>
      </c>
      <c r="P447" s="549">
        <f t="shared" ref="P447:P506" si="45">+O447-M447</f>
        <v>0</v>
      </c>
      <c r="Q447" s="471"/>
    </row>
    <row r="448" spans="1:17">
      <c r="C448" s="505">
        <f>IF(D441="","-",+C447+1)</f>
        <v>2014</v>
      </c>
      <c r="D448" s="469">
        <f t="shared" ref="D448:D506" si="46">F447</f>
        <v>2088950.94</v>
      </c>
      <c r="E448" s="511">
        <f>IF(D448&gt;$J$444,$J$444,D448)</f>
        <v>49736.927142857145</v>
      </c>
      <c r="F448" s="511">
        <f t="shared" si="40"/>
        <v>2039214.0128571428</v>
      </c>
      <c r="G448" s="469">
        <f t="shared" si="41"/>
        <v>2064082.4764285714</v>
      </c>
      <c r="H448" s="506">
        <f>+J442*G448+E448</f>
        <v>359279.67121715151</v>
      </c>
      <c r="I448" s="512">
        <f>+J443*G448+E448</f>
        <v>359279.67121715151</v>
      </c>
      <c r="J448" s="509">
        <f t="shared" si="42"/>
        <v>0</v>
      </c>
      <c r="K448" s="509"/>
      <c r="L448" s="513">
        <v>372954</v>
      </c>
      <c r="M448" s="509">
        <f t="shared" si="43"/>
        <v>-13674.32878284849</v>
      </c>
      <c r="N448" s="513">
        <v>372954</v>
      </c>
      <c r="O448" s="509">
        <f t="shared" si="44"/>
        <v>-13674.32878284849</v>
      </c>
      <c r="P448" s="509">
        <f t="shared" si="45"/>
        <v>0</v>
      </c>
      <c r="Q448" s="471"/>
    </row>
    <row r="449" spans="3:17">
      <c r="C449" s="505">
        <f>IF(D441="","-",+C448+1)</f>
        <v>2015</v>
      </c>
      <c r="D449" s="469">
        <f t="shared" si="46"/>
        <v>2039214.0128571428</v>
      </c>
      <c r="E449" s="511">
        <f t="shared" ref="E449:E506" si="47">IF(D449&gt;$J$444,$J$444,D449)</f>
        <v>49736.927142857145</v>
      </c>
      <c r="F449" s="511">
        <f t="shared" si="40"/>
        <v>1989477.0857142857</v>
      </c>
      <c r="G449" s="469">
        <f t="shared" si="41"/>
        <v>2014345.5492857143</v>
      </c>
      <c r="H449" s="506">
        <f>+J442*G449+E449</f>
        <v>351820.80991415645</v>
      </c>
      <c r="I449" s="512">
        <f>+J443*G449+E449</f>
        <v>351820.80991415645</v>
      </c>
      <c r="J449" s="509">
        <f t="shared" si="42"/>
        <v>0</v>
      </c>
      <c r="K449" s="509"/>
      <c r="L449" s="513">
        <v>375622</v>
      </c>
      <c r="M449" s="509">
        <f t="shared" si="43"/>
        <v>-23801.190085843555</v>
      </c>
      <c r="N449" s="513">
        <v>375622</v>
      </c>
      <c r="O449" s="509">
        <f t="shared" si="44"/>
        <v>-23801.190085843555</v>
      </c>
      <c r="P449" s="509">
        <f t="shared" si="45"/>
        <v>0</v>
      </c>
      <c r="Q449" s="471"/>
    </row>
    <row r="450" spans="3:17">
      <c r="C450" s="505">
        <f>IF(D441="","-",+C449+1)</f>
        <v>2016</v>
      </c>
      <c r="D450" s="469">
        <f t="shared" si="46"/>
        <v>1989477.0857142857</v>
      </c>
      <c r="E450" s="511">
        <f t="shared" si="47"/>
        <v>49736.927142857145</v>
      </c>
      <c r="F450" s="511">
        <f t="shared" si="40"/>
        <v>1939740.1585714286</v>
      </c>
      <c r="G450" s="469">
        <f t="shared" si="41"/>
        <v>1964608.6221428572</v>
      </c>
      <c r="H450" s="506">
        <f>+J442*G450+E450</f>
        <v>344361.94861116144</v>
      </c>
      <c r="I450" s="512">
        <f>+J443*G450+E450</f>
        <v>344361.94861116144</v>
      </c>
      <c r="J450" s="509">
        <f t="shared" si="42"/>
        <v>0</v>
      </c>
      <c r="K450" s="509"/>
      <c r="L450" s="513">
        <v>363235</v>
      </c>
      <c r="M450" s="509">
        <f t="shared" si="43"/>
        <v>-18873.051388838561</v>
      </c>
      <c r="N450" s="513">
        <v>363235</v>
      </c>
      <c r="O450" s="509">
        <f t="shared" si="44"/>
        <v>-18873.051388838561</v>
      </c>
      <c r="P450" s="509">
        <f t="shared" si="45"/>
        <v>0</v>
      </c>
      <c r="Q450" s="471"/>
    </row>
    <row r="451" spans="3:17">
      <c r="C451" s="505">
        <f>IF(D441="","-",+C450+1)</f>
        <v>2017</v>
      </c>
      <c r="D451" s="469">
        <f t="shared" si="46"/>
        <v>1939740.1585714286</v>
      </c>
      <c r="E451" s="511">
        <f t="shared" si="47"/>
        <v>49736.927142857145</v>
      </c>
      <c r="F451" s="511">
        <f t="shared" si="40"/>
        <v>1890003.2314285715</v>
      </c>
      <c r="G451" s="469">
        <f t="shared" si="41"/>
        <v>1914871.6950000001</v>
      </c>
      <c r="H451" s="506">
        <f>+J442*G451+E451</f>
        <v>336903.08730816637</v>
      </c>
      <c r="I451" s="512">
        <f>+J443*G451+E451</f>
        <v>336903.08730816637</v>
      </c>
      <c r="J451" s="509">
        <f t="shared" si="42"/>
        <v>0</v>
      </c>
      <c r="K451" s="509"/>
      <c r="L451" s="513">
        <v>367158</v>
      </c>
      <c r="M451" s="509">
        <f t="shared" si="43"/>
        <v>-30254.912691833626</v>
      </c>
      <c r="N451" s="513">
        <v>367158</v>
      </c>
      <c r="O451" s="509">
        <f t="shared" si="44"/>
        <v>-30254.912691833626</v>
      </c>
      <c r="P451" s="509">
        <f t="shared" si="45"/>
        <v>0</v>
      </c>
      <c r="Q451" s="471"/>
    </row>
    <row r="452" spans="3:17">
      <c r="C452" s="505">
        <f>IF(D441="","-",+C451+1)</f>
        <v>2018</v>
      </c>
      <c r="D452" s="469">
        <f t="shared" si="46"/>
        <v>1890003.2314285715</v>
      </c>
      <c r="E452" s="511">
        <f t="shared" si="47"/>
        <v>49736.927142857145</v>
      </c>
      <c r="F452" s="511">
        <f t="shared" si="40"/>
        <v>1840266.3042857144</v>
      </c>
      <c r="G452" s="469">
        <f t="shared" si="41"/>
        <v>1865134.767857143</v>
      </c>
      <c r="H452" s="506">
        <f>+J442*G452+E452</f>
        <v>329444.22600517137</v>
      </c>
      <c r="I452" s="512">
        <f>+J443*G452+E452</f>
        <v>329444.22600517137</v>
      </c>
      <c r="J452" s="509">
        <f t="shared" si="42"/>
        <v>0</v>
      </c>
      <c r="K452" s="509"/>
      <c r="L452" s="513">
        <v>331181</v>
      </c>
      <c r="M452" s="509">
        <f t="shared" si="43"/>
        <v>-1736.7739948286326</v>
      </c>
      <c r="N452" s="513">
        <v>331181</v>
      </c>
      <c r="O452" s="509">
        <f t="shared" si="44"/>
        <v>-1736.7739948286326</v>
      </c>
      <c r="P452" s="509">
        <f t="shared" si="45"/>
        <v>0</v>
      </c>
      <c r="Q452" s="471"/>
    </row>
    <row r="453" spans="3:17">
      <c r="C453" s="505">
        <f>IF(D441="","-",+C452+1)</f>
        <v>2019</v>
      </c>
      <c r="D453" s="941">
        <f t="shared" si="46"/>
        <v>1840266.3042857144</v>
      </c>
      <c r="E453" s="511">
        <f t="shared" si="47"/>
        <v>49736.927142857145</v>
      </c>
      <c r="F453" s="511">
        <f t="shared" si="40"/>
        <v>1790529.3771428573</v>
      </c>
      <c r="G453" s="469">
        <f t="shared" si="41"/>
        <v>1815397.8407142858</v>
      </c>
      <c r="H453" s="506">
        <f>+J442*G453+E453</f>
        <v>321985.3647021763</v>
      </c>
      <c r="I453" s="512">
        <f>+J443*G453+E453</f>
        <v>321985.3647021763</v>
      </c>
      <c r="J453" s="509">
        <f t="shared" si="42"/>
        <v>0</v>
      </c>
      <c r="K453" s="509"/>
      <c r="L453" s="513">
        <v>321999</v>
      </c>
      <c r="M453" s="509">
        <f t="shared" si="43"/>
        <v>-13.635297823697329</v>
      </c>
      <c r="N453" s="513">
        <v>321999</v>
      </c>
      <c r="O453" s="509">
        <f t="shared" si="44"/>
        <v>-13.635297823697329</v>
      </c>
      <c r="P453" s="509">
        <f t="shared" si="45"/>
        <v>0</v>
      </c>
      <c r="Q453" s="471"/>
    </row>
    <row r="454" spans="3:17">
      <c r="C454" s="505">
        <f>IF(D441="","-",+C453+1)</f>
        <v>2020</v>
      </c>
      <c r="D454" s="469">
        <f t="shared" si="46"/>
        <v>1790529.3771428573</v>
      </c>
      <c r="E454" s="511">
        <f t="shared" si="47"/>
        <v>49736.927142857145</v>
      </c>
      <c r="F454" s="511">
        <f t="shared" si="40"/>
        <v>1740792.4500000002</v>
      </c>
      <c r="G454" s="469">
        <f t="shared" si="41"/>
        <v>1765660.9135714287</v>
      </c>
      <c r="H454" s="506">
        <f>+J442*G454+E454</f>
        <v>314526.5033991813</v>
      </c>
      <c r="I454" s="512">
        <f>+J443*G454+E454</f>
        <v>314526.5033991813</v>
      </c>
      <c r="J454" s="509">
        <f t="shared" si="42"/>
        <v>0</v>
      </c>
      <c r="K454" s="509"/>
      <c r="L454" s="513">
        <v>310179.34657467681</v>
      </c>
      <c r="M454" s="509">
        <f t="shared" si="43"/>
        <v>4347.1568245044909</v>
      </c>
      <c r="N454" s="513">
        <v>310179.34657467681</v>
      </c>
      <c r="O454" s="509">
        <f t="shared" si="44"/>
        <v>4347.1568245044909</v>
      </c>
      <c r="P454" s="509">
        <f t="shared" si="45"/>
        <v>0</v>
      </c>
      <c r="Q454" s="471"/>
    </row>
    <row r="455" spans="3:17">
      <c r="C455" s="505">
        <f>IF(D441="","-",+C454+1)</f>
        <v>2021</v>
      </c>
      <c r="D455" s="469">
        <f t="shared" si="46"/>
        <v>1740792.4500000002</v>
      </c>
      <c r="E455" s="511">
        <f t="shared" si="47"/>
        <v>49736.927142857145</v>
      </c>
      <c r="F455" s="511">
        <f t="shared" si="40"/>
        <v>1691055.5228571431</v>
      </c>
      <c r="G455" s="469">
        <f t="shared" si="41"/>
        <v>1715923.9864285716</v>
      </c>
      <c r="H455" s="506">
        <f>+J442*G455+E455</f>
        <v>307067.64209618623</v>
      </c>
      <c r="I455" s="512">
        <f>+J443*G455+E455</f>
        <v>307067.64209618623</v>
      </c>
      <c r="J455" s="509">
        <f t="shared" si="42"/>
        <v>0</v>
      </c>
      <c r="K455" s="509"/>
      <c r="L455" s="513">
        <v>295884.87969016167</v>
      </c>
      <c r="M455" s="509">
        <f t="shared" si="43"/>
        <v>11182.762406024558</v>
      </c>
      <c r="N455" s="513">
        <v>295884.87969016167</v>
      </c>
      <c r="O455" s="509">
        <f t="shared" si="44"/>
        <v>11182.762406024558</v>
      </c>
      <c r="P455" s="509">
        <f t="shared" si="45"/>
        <v>0</v>
      </c>
      <c r="Q455" s="471"/>
    </row>
    <row r="456" spans="3:17">
      <c r="C456" s="963">
        <f>IF(D441="","-",+C455+1)</f>
        <v>2022</v>
      </c>
      <c r="D456" s="469">
        <f t="shared" si="46"/>
        <v>1691055.5228571431</v>
      </c>
      <c r="E456" s="511">
        <f t="shared" si="47"/>
        <v>49736.927142857145</v>
      </c>
      <c r="F456" s="511">
        <f t="shared" si="40"/>
        <v>1641318.595714286</v>
      </c>
      <c r="G456" s="469">
        <f t="shared" si="41"/>
        <v>1666187.0592857145</v>
      </c>
      <c r="H456" s="506">
        <f>+J442*G456+E456</f>
        <v>299608.78079319117</v>
      </c>
      <c r="I456" s="512">
        <f>+J443*G456+E456</f>
        <v>299608.78079319117</v>
      </c>
      <c r="J456" s="509">
        <f t="shared" si="42"/>
        <v>0</v>
      </c>
      <c r="K456" s="509"/>
      <c r="L456" s="513">
        <v>290273.96986315958</v>
      </c>
      <c r="M456" s="509">
        <f t="shared" si="43"/>
        <v>9334.8109300315846</v>
      </c>
      <c r="N456" s="513">
        <v>290273.96986315958</v>
      </c>
      <c r="O456" s="509">
        <f t="shared" si="44"/>
        <v>9334.8109300315846</v>
      </c>
      <c r="P456" s="509">
        <f t="shared" si="45"/>
        <v>0</v>
      </c>
      <c r="Q456" s="471"/>
    </row>
    <row r="457" spans="3:17">
      <c r="C457" s="505">
        <f>IF(D441="","-",+C456+1)</f>
        <v>2023</v>
      </c>
      <c r="D457" s="469">
        <f t="shared" si="46"/>
        <v>1641318.595714286</v>
      </c>
      <c r="E457" s="511">
        <f t="shared" si="47"/>
        <v>49736.927142857145</v>
      </c>
      <c r="F457" s="511">
        <f t="shared" si="40"/>
        <v>1591581.6685714289</v>
      </c>
      <c r="G457" s="469">
        <f t="shared" si="41"/>
        <v>1616450.1321428574</v>
      </c>
      <c r="H457" s="506">
        <f>+J442*G457+E457</f>
        <v>292149.91949019616</v>
      </c>
      <c r="I457" s="512">
        <f>+J443*G457+E457</f>
        <v>292149.91949019616</v>
      </c>
      <c r="J457" s="509">
        <f t="shared" si="42"/>
        <v>0</v>
      </c>
      <c r="K457" s="509"/>
      <c r="L457" s="513">
        <v>294501.67870136088</v>
      </c>
      <c r="M457" s="509">
        <f t="shared" si="43"/>
        <v>-2351.7592111647245</v>
      </c>
      <c r="N457" s="513">
        <v>294501.67870136088</v>
      </c>
      <c r="O457" s="509">
        <f t="shared" si="44"/>
        <v>-2351.7592111647245</v>
      </c>
      <c r="P457" s="509">
        <f t="shared" si="45"/>
        <v>0</v>
      </c>
      <c r="Q457" s="471"/>
    </row>
    <row r="458" spans="3:17">
      <c r="C458" s="505">
        <f>IF(D441="","-",+C457+1)</f>
        <v>2024</v>
      </c>
      <c r="D458" s="469">
        <f t="shared" si="46"/>
        <v>1591581.6685714289</v>
      </c>
      <c r="E458" s="511">
        <f t="shared" si="47"/>
        <v>49736.927142857145</v>
      </c>
      <c r="F458" s="511">
        <f t="shared" si="40"/>
        <v>1541844.7414285718</v>
      </c>
      <c r="G458" s="469">
        <f t="shared" si="41"/>
        <v>1566713.2050000003</v>
      </c>
      <c r="H458" s="506">
        <f>+J442*G458+E458</f>
        <v>284691.0581872011</v>
      </c>
      <c r="I458" s="512">
        <f>+J443*G458+E458</f>
        <v>284691.0581872011</v>
      </c>
      <c r="J458" s="509">
        <f t="shared" si="42"/>
        <v>0</v>
      </c>
      <c r="K458" s="509"/>
      <c r="L458" s="513">
        <v>285852.56588075013</v>
      </c>
      <c r="M458" s="509">
        <f t="shared" si="43"/>
        <v>-1161.507693549036</v>
      </c>
      <c r="N458" s="513">
        <v>285852.56588075013</v>
      </c>
      <c r="O458" s="509">
        <f t="shared" si="44"/>
        <v>-1161.507693549036</v>
      </c>
      <c r="P458" s="509">
        <f t="shared" si="45"/>
        <v>0</v>
      </c>
      <c r="Q458" s="471"/>
    </row>
    <row r="459" spans="3:17">
      <c r="C459" s="505">
        <f>IF(D441="","-",+C458+1)</f>
        <v>2025</v>
      </c>
      <c r="D459" s="469">
        <f t="shared" si="46"/>
        <v>1541844.7414285718</v>
      </c>
      <c r="E459" s="511">
        <f t="shared" si="47"/>
        <v>49736.927142857145</v>
      </c>
      <c r="F459" s="511">
        <f t="shared" si="40"/>
        <v>1492107.8142857146</v>
      </c>
      <c r="G459" s="469">
        <f t="shared" si="41"/>
        <v>1516976.2778571432</v>
      </c>
      <c r="H459" s="506">
        <f>+J442*G459+E459</f>
        <v>277232.19688420603</v>
      </c>
      <c r="I459" s="512">
        <f>+J443*G459+E459</f>
        <v>277232.19688420603</v>
      </c>
      <c r="J459" s="509">
        <f t="shared" si="42"/>
        <v>0</v>
      </c>
      <c r="K459" s="509"/>
      <c r="L459" s="513">
        <v>270033.92897046253</v>
      </c>
      <c r="M459" s="509">
        <f t="shared" si="43"/>
        <v>7198.2679137435043</v>
      </c>
      <c r="N459" s="513">
        <v>270033.92897046253</v>
      </c>
      <c r="O459" s="509">
        <f t="shared" si="44"/>
        <v>7198.2679137435043</v>
      </c>
      <c r="P459" s="509">
        <f t="shared" si="45"/>
        <v>0</v>
      </c>
      <c r="Q459" s="471"/>
    </row>
    <row r="460" spans="3:17">
      <c r="C460" s="505">
        <f>IF(D441="","-",+C459+1)</f>
        <v>2026</v>
      </c>
      <c r="D460" s="469">
        <f t="shared" si="46"/>
        <v>1492107.8142857146</v>
      </c>
      <c r="E460" s="511">
        <f t="shared" si="47"/>
        <v>49736.927142857145</v>
      </c>
      <c r="F460" s="511">
        <f t="shared" si="40"/>
        <v>1442370.8871428575</v>
      </c>
      <c r="G460" s="469">
        <f t="shared" si="41"/>
        <v>1467239.3507142861</v>
      </c>
      <c r="H460" s="506">
        <f>+J442*G460+E460</f>
        <v>269773.33558121102</v>
      </c>
      <c r="I460" s="512">
        <f>+J443*G460+E460</f>
        <v>269773.33558121102</v>
      </c>
      <c r="J460" s="509">
        <f t="shared" si="42"/>
        <v>0</v>
      </c>
      <c r="K460" s="509"/>
      <c r="L460" s="513"/>
      <c r="M460" s="509">
        <f t="shared" si="43"/>
        <v>0</v>
      </c>
      <c r="N460" s="513"/>
      <c r="O460" s="509">
        <f t="shared" si="44"/>
        <v>0</v>
      </c>
      <c r="P460" s="509">
        <f t="shared" si="45"/>
        <v>0</v>
      </c>
      <c r="Q460" s="471"/>
    </row>
    <row r="461" spans="3:17">
      <c r="C461" s="505">
        <f>IF(D441="","-",+C460+1)</f>
        <v>2027</v>
      </c>
      <c r="D461" s="469">
        <f t="shared" si="46"/>
        <v>1442370.8871428575</v>
      </c>
      <c r="E461" s="511">
        <f t="shared" si="47"/>
        <v>49736.927142857145</v>
      </c>
      <c r="F461" s="511">
        <f t="shared" si="40"/>
        <v>1392633.9600000004</v>
      </c>
      <c r="G461" s="469">
        <f t="shared" si="41"/>
        <v>1417502.423571429</v>
      </c>
      <c r="H461" s="506">
        <f>+J442*G461+E461</f>
        <v>262314.47427821596</v>
      </c>
      <c r="I461" s="512">
        <f>+J443*G461+E461</f>
        <v>262314.47427821596</v>
      </c>
      <c r="J461" s="509">
        <f t="shared" si="42"/>
        <v>0</v>
      </c>
      <c r="K461" s="509"/>
      <c r="L461" s="513"/>
      <c r="M461" s="509">
        <f t="shared" si="43"/>
        <v>0</v>
      </c>
      <c r="N461" s="513"/>
      <c r="O461" s="509">
        <f t="shared" si="44"/>
        <v>0</v>
      </c>
      <c r="P461" s="509">
        <f t="shared" si="45"/>
        <v>0</v>
      </c>
      <c r="Q461" s="471"/>
    </row>
    <row r="462" spans="3:17">
      <c r="C462" s="505">
        <f>IF(D441="","-",+C461+1)</f>
        <v>2028</v>
      </c>
      <c r="D462" s="469">
        <f t="shared" si="46"/>
        <v>1392633.9600000004</v>
      </c>
      <c r="E462" s="511">
        <f t="shared" si="47"/>
        <v>49736.927142857145</v>
      </c>
      <c r="F462" s="511">
        <f t="shared" si="40"/>
        <v>1342897.0328571433</v>
      </c>
      <c r="G462" s="469">
        <f t="shared" si="41"/>
        <v>1367765.4964285719</v>
      </c>
      <c r="H462" s="506">
        <f>+J442*G462+E462</f>
        <v>254855.61297522092</v>
      </c>
      <c r="I462" s="512">
        <f>+J443*G462+E462</f>
        <v>254855.61297522092</v>
      </c>
      <c r="J462" s="509">
        <f t="shared" si="42"/>
        <v>0</v>
      </c>
      <c r="K462" s="509"/>
      <c r="L462" s="513"/>
      <c r="M462" s="509">
        <f t="shared" si="43"/>
        <v>0</v>
      </c>
      <c r="N462" s="513"/>
      <c r="O462" s="509">
        <f t="shared" si="44"/>
        <v>0</v>
      </c>
      <c r="P462" s="509">
        <f t="shared" si="45"/>
        <v>0</v>
      </c>
      <c r="Q462" s="471"/>
    </row>
    <row r="463" spans="3:17">
      <c r="C463" s="505">
        <f>IF(D441="","-",+C462+1)</f>
        <v>2029</v>
      </c>
      <c r="D463" s="469">
        <f t="shared" si="46"/>
        <v>1342897.0328571433</v>
      </c>
      <c r="E463" s="511">
        <f t="shared" si="47"/>
        <v>49736.927142857145</v>
      </c>
      <c r="F463" s="511">
        <f t="shared" si="40"/>
        <v>1293160.1057142862</v>
      </c>
      <c r="G463" s="469">
        <f t="shared" si="41"/>
        <v>1318028.5692857148</v>
      </c>
      <c r="H463" s="506">
        <f>+J442*G463+E463</f>
        <v>247396.75167222589</v>
      </c>
      <c r="I463" s="512">
        <f>+J443*G463+E463</f>
        <v>247396.75167222589</v>
      </c>
      <c r="J463" s="509">
        <f t="shared" si="42"/>
        <v>0</v>
      </c>
      <c r="K463" s="509"/>
      <c r="L463" s="513"/>
      <c r="M463" s="509">
        <f t="shared" si="43"/>
        <v>0</v>
      </c>
      <c r="N463" s="513"/>
      <c r="O463" s="509">
        <f t="shared" si="44"/>
        <v>0</v>
      </c>
      <c r="P463" s="509">
        <f t="shared" si="45"/>
        <v>0</v>
      </c>
      <c r="Q463" s="471"/>
    </row>
    <row r="464" spans="3:17">
      <c r="C464" s="505">
        <f>IF(D441="","-",+C463+1)</f>
        <v>2030</v>
      </c>
      <c r="D464" s="469">
        <f t="shared" si="46"/>
        <v>1293160.1057142862</v>
      </c>
      <c r="E464" s="511">
        <f t="shared" si="47"/>
        <v>49736.927142857145</v>
      </c>
      <c r="F464" s="511">
        <f t="shared" si="40"/>
        <v>1243423.1785714291</v>
      </c>
      <c r="G464" s="469">
        <f t="shared" si="41"/>
        <v>1268291.6421428577</v>
      </c>
      <c r="H464" s="506">
        <f>+J442*G464+E464</f>
        <v>239937.89036923085</v>
      </c>
      <c r="I464" s="512">
        <f>+J443*G464+E464</f>
        <v>239937.89036923085</v>
      </c>
      <c r="J464" s="509">
        <f t="shared" si="42"/>
        <v>0</v>
      </c>
      <c r="K464" s="509"/>
      <c r="L464" s="513"/>
      <c r="M464" s="509">
        <f t="shared" si="43"/>
        <v>0</v>
      </c>
      <c r="N464" s="513"/>
      <c r="O464" s="509">
        <f t="shared" si="44"/>
        <v>0</v>
      </c>
      <c r="P464" s="509">
        <f t="shared" si="45"/>
        <v>0</v>
      </c>
      <c r="Q464" s="471"/>
    </row>
    <row r="465" spans="3:17">
      <c r="C465" s="505">
        <f>IF(D441="","-",+C464+1)</f>
        <v>2031</v>
      </c>
      <c r="D465" s="469">
        <f t="shared" si="46"/>
        <v>1243423.1785714291</v>
      </c>
      <c r="E465" s="511">
        <f t="shared" si="47"/>
        <v>49736.927142857145</v>
      </c>
      <c r="F465" s="511">
        <f t="shared" si="40"/>
        <v>1193686.251428572</v>
      </c>
      <c r="G465" s="469">
        <f t="shared" si="41"/>
        <v>1218554.7150000005</v>
      </c>
      <c r="H465" s="506">
        <f>+J442*G465+E465</f>
        <v>232479.02906623582</v>
      </c>
      <c r="I465" s="512">
        <f>+J443*G465+E465</f>
        <v>232479.02906623582</v>
      </c>
      <c r="J465" s="509">
        <f t="shared" si="42"/>
        <v>0</v>
      </c>
      <c r="K465" s="509"/>
      <c r="L465" s="513"/>
      <c r="M465" s="509">
        <f t="shared" si="43"/>
        <v>0</v>
      </c>
      <c r="N465" s="513"/>
      <c r="O465" s="509">
        <f t="shared" si="44"/>
        <v>0</v>
      </c>
      <c r="P465" s="509">
        <f t="shared" si="45"/>
        <v>0</v>
      </c>
      <c r="Q465" s="471"/>
    </row>
    <row r="466" spans="3:17">
      <c r="C466" s="505">
        <f>IF(D441="","-",+C465+1)</f>
        <v>2032</v>
      </c>
      <c r="D466" s="469">
        <f t="shared" si="46"/>
        <v>1193686.251428572</v>
      </c>
      <c r="E466" s="511">
        <f t="shared" si="47"/>
        <v>49736.927142857145</v>
      </c>
      <c r="F466" s="511">
        <f t="shared" si="40"/>
        <v>1143949.3242857149</v>
      </c>
      <c r="G466" s="469">
        <f t="shared" si="41"/>
        <v>1168817.7878571434</v>
      </c>
      <c r="H466" s="506">
        <f>+J442*G466+E466</f>
        <v>225020.16776324078</v>
      </c>
      <c r="I466" s="512">
        <f>+J443*G466+E466</f>
        <v>225020.16776324078</v>
      </c>
      <c r="J466" s="509">
        <f t="shared" si="42"/>
        <v>0</v>
      </c>
      <c r="K466" s="509"/>
      <c r="L466" s="513"/>
      <c r="M466" s="509">
        <f t="shared" si="43"/>
        <v>0</v>
      </c>
      <c r="N466" s="513"/>
      <c r="O466" s="509">
        <f t="shared" si="44"/>
        <v>0</v>
      </c>
      <c r="P466" s="509">
        <f t="shared" si="45"/>
        <v>0</v>
      </c>
      <c r="Q466" s="471"/>
    </row>
    <row r="467" spans="3:17">
      <c r="C467" s="505">
        <f>IF(D441="","-",+C466+1)</f>
        <v>2033</v>
      </c>
      <c r="D467" s="469">
        <f t="shared" si="46"/>
        <v>1143949.3242857149</v>
      </c>
      <c r="E467" s="511">
        <f t="shared" si="47"/>
        <v>49736.927142857145</v>
      </c>
      <c r="F467" s="511">
        <f t="shared" si="40"/>
        <v>1094212.3971428578</v>
      </c>
      <c r="G467" s="469">
        <f t="shared" si="41"/>
        <v>1119080.8607142863</v>
      </c>
      <c r="H467" s="506">
        <f>+J442*G467+E467</f>
        <v>217561.30646024572</v>
      </c>
      <c r="I467" s="512">
        <f>+J443*G467+E467</f>
        <v>217561.30646024572</v>
      </c>
      <c r="J467" s="509">
        <f t="shared" si="42"/>
        <v>0</v>
      </c>
      <c r="K467" s="509"/>
      <c r="L467" s="513"/>
      <c r="M467" s="509">
        <f t="shared" si="43"/>
        <v>0</v>
      </c>
      <c r="N467" s="513"/>
      <c r="O467" s="509">
        <f t="shared" si="44"/>
        <v>0</v>
      </c>
      <c r="P467" s="509">
        <f t="shared" si="45"/>
        <v>0</v>
      </c>
      <c r="Q467" s="471"/>
    </row>
    <row r="468" spans="3:17">
      <c r="C468" s="505">
        <f>IF(D441="","-",+C467+1)</f>
        <v>2034</v>
      </c>
      <c r="D468" s="469">
        <f t="shared" si="46"/>
        <v>1094212.3971428578</v>
      </c>
      <c r="E468" s="511">
        <f t="shared" si="47"/>
        <v>49736.927142857145</v>
      </c>
      <c r="F468" s="511">
        <f t="shared" si="40"/>
        <v>1044475.4700000007</v>
      </c>
      <c r="G468" s="469">
        <f t="shared" si="41"/>
        <v>1069343.9335714292</v>
      </c>
      <c r="H468" s="506">
        <f>+J442*G468+E468</f>
        <v>210102.44515725068</v>
      </c>
      <c r="I468" s="512">
        <f>+J443*G468+E468</f>
        <v>210102.44515725068</v>
      </c>
      <c r="J468" s="509">
        <f t="shared" si="42"/>
        <v>0</v>
      </c>
      <c r="K468" s="509"/>
      <c r="L468" s="513"/>
      <c r="M468" s="509">
        <f t="shared" si="43"/>
        <v>0</v>
      </c>
      <c r="N468" s="513"/>
      <c r="O468" s="509">
        <f t="shared" si="44"/>
        <v>0</v>
      </c>
      <c r="P468" s="509">
        <f t="shared" si="45"/>
        <v>0</v>
      </c>
      <c r="Q468" s="471"/>
    </row>
    <row r="469" spans="3:17">
      <c r="C469" s="505">
        <f>IF(D441="","-",+C468+1)</f>
        <v>2035</v>
      </c>
      <c r="D469" s="469">
        <f t="shared" si="46"/>
        <v>1044475.4700000007</v>
      </c>
      <c r="E469" s="511">
        <f t="shared" si="47"/>
        <v>49736.927142857145</v>
      </c>
      <c r="F469" s="511">
        <f t="shared" si="40"/>
        <v>994738.54285714356</v>
      </c>
      <c r="G469" s="469">
        <f t="shared" si="41"/>
        <v>1019607.0064285721</v>
      </c>
      <c r="H469" s="506">
        <f>+J442*G469+E469</f>
        <v>202643.58385425564</v>
      </c>
      <c r="I469" s="512">
        <f>+J443*G469+E469</f>
        <v>202643.58385425564</v>
      </c>
      <c r="J469" s="509">
        <f t="shared" si="42"/>
        <v>0</v>
      </c>
      <c r="K469" s="509"/>
      <c r="L469" s="513"/>
      <c r="M469" s="509">
        <f t="shared" si="43"/>
        <v>0</v>
      </c>
      <c r="N469" s="513"/>
      <c r="O469" s="509">
        <f t="shared" si="44"/>
        <v>0</v>
      </c>
      <c r="P469" s="509">
        <f t="shared" si="45"/>
        <v>0</v>
      </c>
      <c r="Q469" s="471"/>
    </row>
    <row r="470" spans="3:17">
      <c r="C470" s="505">
        <f>IF(D441="","-",+C469+1)</f>
        <v>2036</v>
      </c>
      <c r="D470" s="469">
        <f t="shared" si="46"/>
        <v>994738.54285714356</v>
      </c>
      <c r="E470" s="511">
        <f t="shared" si="47"/>
        <v>49736.927142857145</v>
      </c>
      <c r="F470" s="511">
        <f t="shared" si="40"/>
        <v>945001.61571428645</v>
      </c>
      <c r="G470" s="469">
        <f t="shared" si="41"/>
        <v>969870.07928571501</v>
      </c>
      <c r="H470" s="506">
        <f>+J442*G470+E470</f>
        <v>195184.72255126061</v>
      </c>
      <c r="I470" s="512">
        <f>+J443*G470+E470</f>
        <v>195184.72255126061</v>
      </c>
      <c r="J470" s="509">
        <f t="shared" si="42"/>
        <v>0</v>
      </c>
      <c r="K470" s="509"/>
      <c r="L470" s="513"/>
      <c r="M470" s="509">
        <f t="shared" si="43"/>
        <v>0</v>
      </c>
      <c r="N470" s="513"/>
      <c r="O470" s="509">
        <f t="shared" si="44"/>
        <v>0</v>
      </c>
      <c r="P470" s="509">
        <f t="shared" si="45"/>
        <v>0</v>
      </c>
      <c r="Q470" s="471"/>
    </row>
    <row r="471" spans="3:17">
      <c r="C471" s="505">
        <f>IF(D441="","-",+C470+1)</f>
        <v>2037</v>
      </c>
      <c r="D471" s="469">
        <f t="shared" si="46"/>
        <v>945001.61571428645</v>
      </c>
      <c r="E471" s="511">
        <f t="shared" si="47"/>
        <v>49736.927142857145</v>
      </c>
      <c r="F471" s="511">
        <f t="shared" si="40"/>
        <v>895264.68857142935</v>
      </c>
      <c r="G471" s="469">
        <f t="shared" si="41"/>
        <v>920133.1521428579</v>
      </c>
      <c r="H471" s="506">
        <f>+J442*G471+E471</f>
        <v>187725.86124826557</v>
      </c>
      <c r="I471" s="512">
        <f>+J443*G471+E471</f>
        <v>187725.86124826557</v>
      </c>
      <c r="J471" s="509">
        <f t="shared" si="42"/>
        <v>0</v>
      </c>
      <c r="K471" s="509"/>
      <c r="L471" s="513"/>
      <c r="M471" s="509">
        <f t="shared" si="43"/>
        <v>0</v>
      </c>
      <c r="N471" s="513"/>
      <c r="O471" s="509">
        <f t="shared" si="44"/>
        <v>0</v>
      </c>
      <c r="P471" s="509">
        <f t="shared" si="45"/>
        <v>0</v>
      </c>
      <c r="Q471" s="471"/>
    </row>
    <row r="472" spans="3:17">
      <c r="C472" s="505">
        <f>IF(D441="","-",+C471+1)</f>
        <v>2038</v>
      </c>
      <c r="D472" s="469">
        <f t="shared" si="46"/>
        <v>895264.68857142935</v>
      </c>
      <c r="E472" s="511">
        <f t="shared" si="47"/>
        <v>49736.927142857145</v>
      </c>
      <c r="F472" s="511">
        <f t="shared" si="40"/>
        <v>845527.76142857224</v>
      </c>
      <c r="G472" s="469">
        <f t="shared" si="41"/>
        <v>870396.22500000079</v>
      </c>
      <c r="H472" s="506">
        <f>+J442*G472+E472</f>
        <v>180266.99994527054</v>
      </c>
      <c r="I472" s="512">
        <f>+J443*G472+E472</f>
        <v>180266.99994527054</v>
      </c>
      <c r="J472" s="509">
        <f t="shared" si="42"/>
        <v>0</v>
      </c>
      <c r="K472" s="509"/>
      <c r="L472" s="513"/>
      <c r="M472" s="509">
        <f t="shared" si="43"/>
        <v>0</v>
      </c>
      <c r="N472" s="513"/>
      <c r="O472" s="509">
        <f t="shared" si="44"/>
        <v>0</v>
      </c>
      <c r="P472" s="509">
        <f t="shared" si="45"/>
        <v>0</v>
      </c>
      <c r="Q472" s="471"/>
    </row>
    <row r="473" spans="3:17">
      <c r="C473" s="505">
        <f>IF(D441="","-",+C472+1)</f>
        <v>2039</v>
      </c>
      <c r="D473" s="469">
        <f t="shared" si="46"/>
        <v>845527.76142857224</v>
      </c>
      <c r="E473" s="511">
        <f t="shared" si="47"/>
        <v>49736.927142857145</v>
      </c>
      <c r="F473" s="511">
        <f t="shared" si="40"/>
        <v>795790.83428571513</v>
      </c>
      <c r="G473" s="469">
        <f t="shared" si="41"/>
        <v>820659.29785714368</v>
      </c>
      <c r="H473" s="506">
        <f>+J442*G473+E473</f>
        <v>172808.1386422755</v>
      </c>
      <c r="I473" s="512">
        <f>+J443*G473+E473</f>
        <v>172808.1386422755</v>
      </c>
      <c r="J473" s="509">
        <f t="shared" si="42"/>
        <v>0</v>
      </c>
      <c r="K473" s="509"/>
      <c r="L473" s="513"/>
      <c r="M473" s="509">
        <f t="shared" si="43"/>
        <v>0</v>
      </c>
      <c r="N473" s="513"/>
      <c r="O473" s="509">
        <f t="shared" si="44"/>
        <v>0</v>
      </c>
      <c r="P473" s="509">
        <f t="shared" si="45"/>
        <v>0</v>
      </c>
      <c r="Q473" s="471"/>
    </row>
    <row r="474" spans="3:17">
      <c r="C474" s="505">
        <f>IF(D441="","-",+C473+1)</f>
        <v>2040</v>
      </c>
      <c r="D474" s="469">
        <f t="shared" si="46"/>
        <v>795790.83428571513</v>
      </c>
      <c r="E474" s="511">
        <f t="shared" si="47"/>
        <v>49736.927142857145</v>
      </c>
      <c r="F474" s="511">
        <f t="shared" si="40"/>
        <v>746053.90714285802</v>
      </c>
      <c r="G474" s="469">
        <f t="shared" si="41"/>
        <v>770922.37071428658</v>
      </c>
      <c r="H474" s="506">
        <f>+J442*G474+E474</f>
        <v>165349.27733928047</v>
      </c>
      <c r="I474" s="512">
        <f>+J443*G474+E474</f>
        <v>165349.27733928047</v>
      </c>
      <c r="J474" s="509">
        <f t="shared" si="42"/>
        <v>0</v>
      </c>
      <c r="K474" s="509"/>
      <c r="L474" s="513"/>
      <c r="M474" s="509">
        <f t="shared" si="43"/>
        <v>0</v>
      </c>
      <c r="N474" s="513"/>
      <c r="O474" s="509">
        <f t="shared" si="44"/>
        <v>0</v>
      </c>
      <c r="P474" s="509">
        <f t="shared" si="45"/>
        <v>0</v>
      </c>
      <c r="Q474" s="471"/>
    </row>
    <row r="475" spans="3:17">
      <c r="C475" s="505">
        <f>IF(D441="","-",+C474+1)</f>
        <v>2041</v>
      </c>
      <c r="D475" s="469">
        <f t="shared" si="46"/>
        <v>746053.90714285802</v>
      </c>
      <c r="E475" s="511">
        <f t="shared" si="47"/>
        <v>49736.927142857145</v>
      </c>
      <c r="F475" s="511">
        <f t="shared" si="40"/>
        <v>696316.98000000091</v>
      </c>
      <c r="G475" s="469">
        <f t="shared" si="41"/>
        <v>721185.44357142947</v>
      </c>
      <c r="H475" s="506">
        <f>+J442*G475+E475</f>
        <v>157890.41603628543</v>
      </c>
      <c r="I475" s="512">
        <f>+J443*G475+E475</f>
        <v>157890.41603628543</v>
      </c>
      <c r="J475" s="509">
        <f t="shared" si="42"/>
        <v>0</v>
      </c>
      <c r="K475" s="509"/>
      <c r="L475" s="513"/>
      <c r="M475" s="509">
        <f t="shared" si="43"/>
        <v>0</v>
      </c>
      <c r="N475" s="513"/>
      <c r="O475" s="509">
        <f t="shared" si="44"/>
        <v>0</v>
      </c>
      <c r="P475" s="509">
        <f t="shared" si="45"/>
        <v>0</v>
      </c>
      <c r="Q475" s="471"/>
    </row>
    <row r="476" spans="3:17">
      <c r="C476" s="505">
        <f>IF(D441="","-",+C475+1)</f>
        <v>2042</v>
      </c>
      <c r="D476" s="469">
        <f t="shared" si="46"/>
        <v>696316.98000000091</v>
      </c>
      <c r="E476" s="511">
        <f t="shared" si="47"/>
        <v>49736.927142857145</v>
      </c>
      <c r="F476" s="511">
        <f t="shared" si="40"/>
        <v>646580.0528571438</v>
      </c>
      <c r="G476" s="469">
        <f t="shared" si="41"/>
        <v>671448.51642857236</v>
      </c>
      <c r="H476" s="506">
        <f>+J442*G476+E476</f>
        <v>150431.5547332904</v>
      </c>
      <c r="I476" s="512">
        <f>+J443*G476+E476</f>
        <v>150431.5547332904</v>
      </c>
      <c r="J476" s="509">
        <f t="shared" si="42"/>
        <v>0</v>
      </c>
      <c r="K476" s="509"/>
      <c r="L476" s="513"/>
      <c r="M476" s="509">
        <f t="shared" si="43"/>
        <v>0</v>
      </c>
      <c r="N476" s="513"/>
      <c r="O476" s="509">
        <f t="shared" si="44"/>
        <v>0</v>
      </c>
      <c r="P476" s="509">
        <f t="shared" si="45"/>
        <v>0</v>
      </c>
      <c r="Q476" s="471"/>
    </row>
    <row r="477" spans="3:17">
      <c r="C477" s="505">
        <f>IF(D441="","-",+C476+1)</f>
        <v>2043</v>
      </c>
      <c r="D477" s="469">
        <f t="shared" si="46"/>
        <v>646580.0528571438</v>
      </c>
      <c r="E477" s="511">
        <f t="shared" si="47"/>
        <v>49736.927142857145</v>
      </c>
      <c r="F477" s="511">
        <f t="shared" si="40"/>
        <v>596843.1257142867</v>
      </c>
      <c r="G477" s="469">
        <f t="shared" si="41"/>
        <v>621711.58928571525</v>
      </c>
      <c r="H477" s="506">
        <f>+J442*G477+E477</f>
        <v>142972.69343029533</v>
      </c>
      <c r="I477" s="512">
        <f>+J443*G477+E477</f>
        <v>142972.69343029533</v>
      </c>
      <c r="J477" s="509">
        <f t="shared" si="42"/>
        <v>0</v>
      </c>
      <c r="K477" s="509"/>
      <c r="L477" s="513"/>
      <c r="M477" s="509">
        <f t="shared" si="43"/>
        <v>0</v>
      </c>
      <c r="N477" s="513"/>
      <c r="O477" s="509">
        <f t="shared" si="44"/>
        <v>0</v>
      </c>
      <c r="P477" s="509">
        <f t="shared" si="45"/>
        <v>0</v>
      </c>
      <c r="Q477" s="471"/>
    </row>
    <row r="478" spans="3:17">
      <c r="C478" s="505">
        <f>IF(D441="","-",+C477+1)</f>
        <v>2044</v>
      </c>
      <c r="D478" s="469">
        <f t="shared" si="46"/>
        <v>596843.1257142867</v>
      </c>
      <c r="E478" s="511">
        <f t="shared" si="47"/>
        <v>49736.927142857145</v>
      </c>
      <c r="F478" s="511">
        <f t="shared" si="40"/>
        <v>547106.19857142959</v>
      </c>
      <c r="G478" s="469">
        <f t="shared" si="41"/>
        <v>571974.66214285814</v>
      </c>
      <c r="H478" s="506">
        <f>+J442*G478+E478</f>
        <v>135513.83212730029</v>
      </c>
      <c r="I478" s="512">
        <f>+J443*G478+E478</f>
        <v>135513.83212730029</v>
      </c>
      <c r="J478" s="509">
        <f t="shared" si="42"/>
        <v>0</v>
      </c>
      <c r="K478" s="509"/>
      <c r="L478" s="513"/>
      <c r="M478" s="509">
        <f t="shared" si="43"/>
        <v>0</v>
      </c>
      <c r="N478" s="513"/>
      <c r="O478" s="509">
        <f t="shared" si="44"/>
        <v>0</v>
      </c>
      <c r="P478" s="509">
        <f t="shared" si="45"/>
        <v>0</v>
      </c>
      <c r="Q478" s="471"/>
    </row>
    <row r="479" spans="3:17">
      <c r="C479" s="505">
        <f>IF(D441="","-",+C478+1)</f>
        <v>2045</v>
      </c>
      <c r="D479" s="469">
        <f t="shared" si="46"/>
        <v>547106.19857142959</v>
      </c>
      <c r="E479" s="511">
        <f t="shared" si="47"/>
        <v>49736.927142857145</v>
      </c>
      <c r="F479" s="511">
        <f t="shared" si="40"/>
        <v>497369.27142857242</v>
      </c>
      <c r="G479" s="469">
        <f t="shared" si="41"/>
        <v>522237.73500000103</v>
      </c>
      <c r="H479" s="506">
        <f>+J442*G479+E479</f>
        <v>128054.97082430526</v>
      </c>
      <c r="I479" s="512">
        <f>+J443*G479+E479</f>
        <v>128054.97082430526</v>
      </c>
      <c r="J479" s="509">
        <f t="shared" si="42"/>
        <v>0</v>
      </c>
      <c r="K479" s="509"/>
      <c r="L479" s="513"/>
      <c r="M479" s="509">
        <f t="shared" si="43"/>
        <v>0</v>
      </c>
      <c r="N479" s="513"/>
      <c r="O479" s="509">
        <f t="shared" si="44"/>
        <v>0</v>
      </c>
      <c r="P479" s="509">
        <f t="shared" si="45"/>
        <v>0</v>
      </c>
      <c r="Q479" s="471"/>
    </row>
    <row r="480" spans="3:17">
      <c r="C480" s="505">
        <f>IF(D441="","-",+C479+1)</f>
        <v>2046</v>
      </c>
      <c r="D480" s="469">
        <f t="shared" si="46"/>
        <v>497369.27142857242</v>
      </c>
      <c r="E480" s="511">
        <f t="shared" si="47"/>
        <v>49736.927142857145</v>
      </c>
      <c r="F480" s="511">
        <f t="shared" si="40"/>
        <v>447632.34428571525</v>
      </c>
      <c r="G480" s="469">
        <f t="shared" si="41"/>
        <v>472500.80785714381</v>
      </c>
      <c r="H480" s="506">
        <f>+J442*G480+E480</f>
        <v>120596.10952131022</v>
      </c>
      <c r="I480" s="512">
        <f>+J443*G480+E480</f>
        <v>120596.10952131022</v>
      </c>
      <c r="J480" s="509">
        <f t="shared" si="42"/>
        <v>0</v>
      </c>
      <c r="K480" s="509"/>
      <c r="L480" s="513"/>
      <c r="M480" s="509">
        <f t="shared" si="43"/>
        <v>0</v>
      </c>
      <c r="N480" s="513"/>
      <c r="O480" s="509">
        <f t="shared" si="44"/>
        <v>0</v>
      </c>
      <c r="P480" s="509">
        <f t="shared" si="45"/>
        <v>0</v>
      </c>
      <c r="Q480" s="471"/>
    </row>
    <row r="481" spans="3:17">
      <c r="C481" s="505">
        <f>IF(D441="","-",+C480+1)</f>
        <v>2047</v>
      </c>
      <c r="D481" s="469">
        <f t="shared" si="46"/>
        <v>447632.34428571525</v>
      </c>
      <c r="E481" s="511">
        <f t="shared" si="47"/>
        <v>49736.927142857145</v>
      </c>
      <c r="F481" s="511">
        <f t="shared" si="40"/>
        <v>397895.41714285809</v>
      </c>
      <c r="G481" s="469">
        <f t="shared" si="41"/>
        <v>422763.8807142867</v>
      </c>
      <c r="H481" s="506">
        <f>+J442*G481+E481</f>
        <v>113137.24821831517</v>
      </c>
      <c r="I481" s="512">
        <f>+J443*G481+E481</f>
        <v>113137.24821831517</v>
      </c>
      <c r="J481" s="509">
        <f t="shared" si="42"/>
        <v>0</v>
      </c>
      <c r="K481" s="509"/>
      <c r="L481" s="513"/>
      <c r="M481" s="509">
        <f t="shared" si="43"/>
        <v>0</v>
      </c>
      <c r="N481" s="513"/>
      <c r="O481" s="509">
        <f t="shared" si="44"/>
        <v>0</v>
      </c>
      <c r="P481" s="509">
        <f t="shared" si="45"/>
        <v>0</v>
      </c>
      <c r="Q481" s="471"/>
    </row>
    <row r="482" spans="3:17">
      <c r="C482" s="505">
        <f>IF(D441="","-",+C481+1)</f>
        <v>2048</v>
      </c>
      <c r="D482" s="469">
        <f t="shared" si="46"/>
        <v>397895.41714285809</v>
      </c>
      <c r="E482" s="511">
        <f t="shared" si="47"/>
        <v>49736.927142857145</v>
      </c>
      <c r="F482" s="511">
        <f t="shared" si="40"/>
        <v>348158.49000000092</v>
      </c>
      <c r="G482" s="469">
        <f t="shared" si="41"/>
        <v>373026.95357142948</v>
      </c>
      <c r="H482" s="506">
        <f>+J442*G482+E482</f>
        <v>105678.38691532012</v>
      </c>
      <c r="I482" s="512">
        <f>+J443*G482+E482</f>
        <v>105678.38691532012</v>
      </c>
      <c r="J482" s="509">
        <f t="shared" si="42"/>
        <v>0</v>
      </c>
      <c r="K482" s="509"/>
      <c r="L482" s="513"/>
      <c r="M482" s="509">
        <f t="shared" si="43"/>
        <v>0</v>
      </c>
      <c r="N482" s="513"/>
      <c r="O482" s="509">
        <f t="shared" si="44"/>
        <v>0</v>
      </c>
      <c r="P482" s="509">
        <f t="shared" si="45"/>
        <v>0</v>
      </c>
      <c r="Q482" s="471"/>
    </row>
    <row r="483" spans="3:17">
      <c r="C483" s="505">
        <f>IF(D441="","-",+C482+1)</f>
        <v>2049</v>
      </c>
      <c r="D483" s="469">
        <f t="shared" si="46"/>
        <v>348158.49000000092</v>
      </c>
      <c r="E483" s="511">
        <f t="shared" si="47"/>
        <v>49736.927142857145</v>
      </c>
      <c r="F483" s="511">
        <f t="shared" si="40"/>
        <v>298421.56285714376</v>
      </c>
      <c r="G483" s="469">
        <f t="shared" si="41"/>
        <v>323290.02642857237</v>
      </c>
      <c r="H483" s="506">
        <f>+J442*G483+E483</f>
        <v>98219.525612325073</v>
      </c>
      <c r="I483" s="512">
        <f>+J443*G483+E483</f>
        <v>98219.525612325073</v>
      </c>
      <c r="J483" s="509">
        <f t="shared" si="42"/>
        <v>0</v>
      </c>
      <c r="K483" s="509"/>
      <c r="L483" s="513"/>
      <c r="M483" s="509">
        <f t="shared" si="43"/>
        <v>0</v>
      </c>
      <c r="N483" s="513"/>
      <c r="O483" s="509">
        <f t="shared" si="44"/>
        <v>0</v>
      </c>
      <c r="P483" s="509">
        <f t="shared" si="45"/>
        <v>0</v>
      </c>
      <c r="Q483" s="471"/>
    </row>
    <row r="484" spans="3:17">
      <c r="C484" s="505">
        <f>IF(D441="","-",+C483+1)</f>
        <v>2050</v>
      </c>
      <c r="D484" s="469">
        <f t="shared" si="46"/>
        <v>298421.56285714376</v>
      </c>
      <c r="E484" s="511">
        <f t="shared" si="47"/>
        <v>49736.927142857145</v>
      </c>
      <c r="F484" s="511">
        <f t="shared" si="40"/>
        <v>248684.63571428662</v>
      </c>
      <c r="G484" s="469">
        <f t="shared" si="41"/>
        <v>273553.0992857152</v>
      </c>
      <c r="H484" s="506">
        <f>+J442*G484+E484</f>
        <v>90760.664309330023</v>
      </c>
      <c r="I484" s="512">
        <f>+J443*G484+E484</f>
        <v>90760.664309330023</v>
      </c>
      <c r="J484" s="509">
        <f t="shared" si="42"/>
        <v>0</v>
      </c>
      <c r="K484" s="509"/>
      <c r="L484" s="513"/>
      <c r="M484" s="509">
        <f t="shared" si="43"/>
        <v>0</v>
      </c>
      <c r="N484" s="513"/>
      <c r="O484" s="509">
        <f t="shared" si="44"/>
        <v>0</v>
      </c>
      <c r="P484" s="509">
        <f t="shared" si="45"/>
        <v>0</v>
      </c>
      <c r="Q484" s="471"/>
    </row>
    <row r="485" spans="3:17">
      <c r="C485" s="505">
        <f>IF(D441="","-",+C484+1)</f>
        <v>2051</v>
      </c>
      <c r="D485" s="469">
        <f t="shared" si="46"/>
        <v>248684.63571428662</v>
      </c>
      <c r="E485" s="511">
        <f t="shared" si="47"/>
        <v>49736.927142857145</v>
      </c>
      <c r="F485" s="511">
        <f t="shared" si="40"/>
        <v>198947.70857142948</v>
      </c>
      <c r="G485" s="469">
        <f t="shared" si="41"/>
        <v>223816.17214285803</v>
      </c>
      <c r="H485" s="506">
        <f>+J442*G485+E485</f>
        <v>83301.803006334987</v>
      </c>
      <c r="I485" s="512">
        <f>+J443*G485+E485</f>
        <v>83301.803006334987</v>
      </c>
      <c r="J485" s="509">
        <f t="shared" si="42"/>
        <v>0</v>
      </c>
      <c r="K485" s="509"/>
      <c r="L485" s="513"/>
      <c r="M485" s="509">
        <f t="shared" si="43"/>
        <v>0</v>
      </c>
      <c r="N485" s="513"/>
      <c r="O485" s="509">
        <f t="shared" si="44"/>
        <v>0</v>
      </c>
      <c r="P485" s="509">
        <f t="shared" si="45"/>
        <v>0</v>
      </c>
      <c r="Q485" s="471"/>
    </row>
    <row r="486" spans="3:17">
      <c r="C486" s="505">
        <f>IF(D441="","-",+C485+1)</f>
        <v>2052</v>
      </c>
      <c r="D486" s="469">
        <f t="shared" si="46"/>
        <v>198947.70857142948</v>
      </c>
      <c r="E486" s="511">
        <f t="shared" si="47"/>
        <v>49736.927142857145</v>
      </c>
      <c r="F486" s="511">
        <f t="shared" si="40"/>
        <v>149210.78142857234</v>
      </c>
      <c r="G486" s="469">
        <f t="shared" si="41"/>
        <v>174079.24500000093</v>
      </c>
      <c r="H486" s="506">
        <f>+J442*G486+E486</f>
        <v>75842.941703339937</v>
      </c>
      <c r="I486" s="512">
        <f>+J443*G486+E486</f>
        <v>75842.941703339937</v>
      </c>
      <c r="J486" s="509">
        <f t="shared" si="42"/>
        <v>0</v>
      </c>
      <c r="K486" s="509"/>
      <c r="L486" s="513"/>
      <c r="M486" s="509">
        <f t="shared" si="43"/>
        <v>0</v>
      </c>
      <c r="N486" s="513"/>
      <c r="O486" s="509">
        <f t="shared" si="44"/>
        <v>0</v>
      </c>
      <c r="P486" s="509">
        <f t="shared" si="45"/>
        <v>0</v>
      </c>
      <c r="Q486" s="471"/>
    </row>
    <row r="487" spans="3:17">
      <c r="C487" s="505">
        <f>IF(D441="","-",+C486+1)</f>
        <v>2053</v>
      </c>
      <c r="D487" s="469">
        <f t="shared" si="46"/>
        <v>149210.78142857234</v>
      </c>
      <c r="E487" s="511">
        <f t="shared" si="47"/>
        <v>49736.927142857145</v>
      </c>
      <c r="F487" s="511">
        <f t="shared" si="40"/>
        <v>99473.854285715206</v>
      </c>
      <c r="G487" s="469">
        <f t="shared" si="41"/>
        <v>124342.31785714377</v>
      </c>
      <c r="H487" s="506">
        <f>+J442*G487+E487</f>
        <v>68384.080400344887</v>
      </c>
      <c r="I487" s="512">
        <f>+J443*G487+E487</f>
        <v>68384.080400344887</v>
      </c>
      <c r="J487" s="509">
        <f t="shared" si="42"/>
        <v>0</v>
      </c>
      <c r="K487" s="509"/>
      <c r="L487" s="513"/>
      <c r="M487" s="509">
        <f t="shared" si="43"/>
        <v>0</v>
      </c>
      <c r="N487" s="513"/>
      <c r="O487" s="509">
        <f t="shared" si="44"/>
        <v>0</v>
      </c>
      <c r="P487" s="509">
        <f t="shared" si="45"/>
        <v>0</v>
      </c>
      <c r="Q487" s="471"/>
    </row>
    <row r="488" spans="3:17">
      <c r="C488" s="505">
        <f>IF(D441="","-",+C487+1)</f>
        <v>2054</v>
      </c>
      <c r="D488" s="469">
        <f t="shared" si="46"/>
        <v>99473.854285715206</v>
      </c>
      <c r="E488" s="511">
        <f t="shared" si="47"/>
        <v>49736.927142857145</v>
      </c>
      <c r="F488" s="511">
        <f t="shared" si="40"/>
        <v>49736.927142858061</v>
      </c>
      <c r="G488" s="469">
        <f t="shared" si="41"/>
        <v>74605.390714286637</v>
      </c>
      <c r="H488" s="506">
        <f>+J442*G488+E488</f>
        <v>60925.219097349851</v>
      </c>
      <c r="I488" s="512">
        <f>+J443*G488+E488</f>
        <v>60925.219097349851</v>
      </c>
      <c r="J488" s="509">
        <f t="shared" si="42"/>
        <v>0</v>
      </c>
      <c r="K488" s="509"/>
      <c r="L488" s="513"/>
      <c r="M488" s="509">
        <f t="shared" si="43"/>
        <v>0</v>
      </c>
      <c r="N488" s="513"/>
      <c r="O488" s="509">
        <f t="shared" si="44"/>
        <v>0</v>
      </c>
      <c r="P488" s="509">
        <f t="shared" si="45"/>
        <v>0</v>
      </c>
      <c r="Q488" s="471"/>
    </row>
    <row r="489" spans="3:17">
      <c r="C489" s="505">
        <f>IF(D441="","-",+C488+1)</f>
        <v>2055</v>
      </c>
      <c r="D489" s="469">
        <f t="shared" si="46"/>
        <v>49736.927142858061</v>
      </c>
      <c r="E489" s="511">
        <f t="shared" si="47"/>
        <v>49736.927142857145</v>
      </c>
      <c r="F489" s="511">
        <f t="shared" si="40"/>
        <v>9.1677065938711166E-10</v>
      </c>
      <c r="G489" s="469">
        <f t="shared" si="41"/>
        <v>24868.463571429489</v>
      </c>
      <c r="H489" s="506">
        <f>+J442*G489+E489</f>
        <v>53466.357794354801</v>
      </c>
      <c r="I489" s="512">
        <f>+J443*G489+E489</f>
        <v>53466.357794354801</v>
      </c>
      <c r="J489" s="509">
        <f t="shared" si="42"/>
        <v>0</v>
      </c>
      <c r="K489" s="509"/>
      <c r="L489" s="513"/>
      <c r="M489" s="509">
        <f t="shared" si="43"/>
        <v>0</v>
      </c>
      <c r="N489" s="513"/>
      <c r="O489" s="509">
        <f t="shared" si="44"/>
        <v>0</v>
      </c>
      <c r="P489" s="509">
        <f t="shared" si="45"/>
        <v>0</v>
      </c>
      <c r="Q489" s="471"/>
    </row>
    <row r="490" spans="3:17">
      <c r="C490" s="505">
        <f>IF(D441="","-",+C489+1)</f>
        <v>2056</v>
      </c>
      <c r="D490" s="469">
        <f t="shared" si="46"/>
        <v>9.1677065938711166E-10</v>
      </c>
      <c r="E490" s="511">
        <f t="shared" si="47"/>
        <v>9.1677065938711166E-10</v>
      </c>
      <c r="F490" s="511">
        <f t="shared" si="40"/>
        <v>0</v>
      </c>
      <c r="G490" s="469">
        <f t="shared" si="41"/>
        <v>4.5838532969355583E-10</v>
      </c>
      <c r="H490" s="506">
        <f>+J442*G490+E490</f>
        <v>9.8551299619637122E-10</v>
      </c>
      <c r="I490" s="512">
        <f>+J443*G490+E490</f>
        <v>9.8551299619637122E-10</v>
      </c>
      <c r="J490" s="509">
        <f t="shared" si="42"/>
        <v>0</v>
      </c>
      <c r="K490" s="509"/>
      <c r="L490" s="513"/>
      <c r="M490" s="509">
        <f t="shared" si="43"/>
        <v>0</v>
      </c>
      <c r="N490" s="513"/>
      <c r="O490" s="509">
        <f t="shared" si="44"/>
        <v>0</v>
      </c>
      <c r="P490" s="509">
        <f t="shared" si="45"/>
        <v>0</v>
      </c>
      <c r="Q490" s="471"/>
    </row>
    <row r="491" spans="3:17">
      <c r="C491" s="505">
        <f>IF(D441="","-",+C490+1)</f>
        <v>2057</v>
      </c>
      <c r="D491" s="469">
        <f t="shared" si="46"/>
        <v>0</v>
      </c>
      <c r="E491" s="511">
        <f t="shared" si="47"/>
        <v>0</v>
      </c>
      <c r="F491" s="511">
        <f t="shared" si="40"/>
        <v>0</v>
      </c>
      <c r="G491" s="469">
        <f t="shared" si="41"/>
        <v>0</v>
      </c>
      <c r="H491" s="506">
        <f>+J442*G491+E491</f>
        <v>0</v>
      </c>
      <c r="I491" s="512">
        <f>+J443*G491+E491</f>
        <v>0</v>
      </c>
      <c r="J491" s="509">
        <f t="shared" si="42"/>
        <v>0</v>
      </c>
      <c r="K491" s="509"/>
      <c r="L491" s="513"/>
      <c r="M491" s="509">
        <f t="shared" si="43"/>
        <v>0</v>
      </c>
      <c r="N491" s="513"/>
      <c r="O491" s="509">
        <f t="shared" si="44"/>
        <v>0</v>
      </c>
      <c r="P491" s="509">
        <f t="shared" si="45"/>
        <v>0</v>
      </c>
      <c r="Q491" s="471"/>
    </row>
    <row r="492" spans="3:17">
      <c r="C492" s="505">
        <f>IF(D441="","-",+C491+1)</f>
        <v>2058</v>
      </c>
      <c r="D492" s="469">
        <f t="shared" si="46"/>
        <v>0</v>
      </c>
      <c r="E492" s="511">
        <f t="shared" si="47"/>
        <v>0</v>
      </c>
      <c r="F492" s="511">
        <f t="shared" si="40"/>
        <v>0</v>
      </c>
      <c r="G492" s="469">
        <f t="shared" si="41"/>
        <v>0</v>
      </c>
      <c r="H492" s="506">
        <f>+J442*G492+E492</f>
        <v>0</v>
      </c>
      <c r="I492" s="512">
        <f>+J443*G492+E492</f>
        <v>0</v>
      </c>
      <c r="J492" s="509">
        <f t="shared" si="42"/>
        <v>0</v>
      </c>
      <c r="K492" s="509"/>
      <c r="L492" s="513"/>
      <c r="M492" s="509">
        <f t="shared" si="43"/>
        <v>0</v>
      </c>
      <c r="N492" s="513"/>
      <c r="O492" s="509">
        <f t="shared" si="44"/>
        <v>0</v>
      </c>
      <c r="P492" s="509">
        <f t="shared" si="45"/>
        <v>0</v>
      </c>
      <c r="Q492" s="471"/>
    </row>
    <row r="493" spans="3:17">
      <c r="C493" s="505">
        <f>IF(D441="","-",+C492+1)</f>
        <v>2059</v>
      </c>
      <c r="D493" s="469">
        <f t="shared" si="46"/>
        <v>0</v>
      </c>
      <c r="E493" s="511">
        <f t="shared" si="47"/>
        <v>0</v>
      </c>
      <c r="F493" s="511">
        <f t="shared" si="40"/>
        <v>0</v>
      </c>
      <c r="G493" s="469">
        <f t="shared" si="41"/>
        <v>0</v>
      </c>
      <c r="H493" s="506">
        <f>+J442*G493+E493</f>
        <v>0</v>
      </c>
      <c r="I493" s="512">
        <f>+J443*G493+E493</f>
        <v>0</v>
      </c>
      <c r="J493" s="509">
        <f t="shared" si="42"/>
        <v>0</v>
      </c>
      <c r="K493" s="509"/>
      <c r="L493" s="513"/>
      <c r="M493" s="509">
        <f t="shared" si="43"/>
        <v>0</v>
      </c>
      <c r="N493" s="513"/>
      <c r="O493" s="509">
        <f t="shared" si="44"/>
        <v>0</v>
      </c>
      <c r="P493" s="509">
        <f t="shared" si="45"/>
        <v>0</v>
      </c>
      <c r="Q493" s="471"/>
    </row>
    <row r="494" spans="3:17">
      <c r="C494" s="505">
        <f>IF(D441="","-",+C493+1)</f>
        <v>2060</v>
      </c>
      <c r="D494" s="469">
        <f t="shared" si="46"/>
        <v>0</v>
      </c>
      <c r="E494" s="511">
        <f t="shared" si="47"/>
        <v>0</v>
      </c>
      <c r="F494" s="511">
        <f t="shared" si="40"/>
        <v>0</v>
      </c>
      <c r="G494" s="469">
        <f t="shared" si="41"/>
        <v>0</v>
      </c>
      <c r="H494" s="506">
        <f>+J442*G494+E494</f>
        <v>0</v>
      </c>
      <c r="I494" s="512">
        <f>+J443*G494+E494</f>
        <v>0</v>
      </c>
      <c r="J494" s="509">
        <f t="shared" si="42"/>
        <v>0</v>
      </c>
      <c r="K494" s="509"/>
      <c r="L494" s="513"/>
      <c r="M494" s="509">
        <f t="shared" si="43"/>
        <v>0</v>
      </c>
      <c r="N494" s="513"/>
      <c r="O494" s="509">
        <f t="shared" si="44"/>
        <v>0</v>
      </c>
      <c r="P494" s="509">
        <f t="shared" si="45"/>
        <v>0</v>
      </c>
      <c r="Q494" s="471"/>
    </row>
    <row r="495" spans="3:17">
      <c r="C495" s="505">
        <f>IF(D441="","-",+C494+1)</f>
        <v>2061</v>
      </c>
      <c r="D495" s="469">
        <f t="shared" si="46"/>
        <v>0</v>
      </c>
      <c r="E495" s="511">
        <f t="shared" si="47"/>
        <v>0</v>
      </c>
      <c r="F495" s="511">
        <f t="shared" si="40"/>
        <v>0</v>
      </c>
      <c r="G495" s="469">
        <f t="shared" si="41"/>
        <v>0</v>
      </c>
      <c r="H495" s="506">
        <f>+J442*G495+E495</f>
        <v>0</v>
      </c>
      <c r="I495" s="512">
        <f>+J443*G495+E495</f>
        <v>0</v>
      </c>
      <c r="J495" s="509">
        <f t="shared" si="42"/>
        <v>0</v>
      </c>
      <c r="K495" s="509"/>
      <c r="L495" s="513"/>
      <c r="M495" s="509">
        <f t="shared" si="43"/>
        <v>0</v>
      </c>
      <c r="N495" s="513"/>
      <c r="O495" s="509">
        <f t="shared" si="44"/>
        <v>0</v>
      </c>
      <c r="P495" s="509">
        <f t="shared" si="45"/>
        <v>0</v>
      </c>
      <c r="Q495" s="471"/>
    </row>
    <row r="496" spans="3:17">
      <c r="C496" s="505">
        <f>IF(D441="","-",+C495+1)</f>
        <v>2062</v>
      </c>
      <c r="D496" s="469">
        <f t="shared" si="46"/>
        <v>0</v>
      </c>
      <c r="E496" s="511">
        <f t="shared" si="47"/>
        <v>0</v>
      </c>
      <c r="F496" s="511">
        <f t="shared" si="40"/>
        <v>0</v>
      </c>
      <c r="G496" s="469">
        <f t="shared" si="41"/>
        <v>0</v>
      </c>
      <c r="H496" s="506">
        <f>+J442*G496+E496</f>
        <v>0</v>
      </c>
      <c r="I496" s="512">
        <f>+J443*G496+E496</f>
        <v>0</v>
      </c>
      <c r="J496" s="509">
        <f t="shared" si="42"/>
        <v>0</v>
      </c>
      <c r="K496" s="509"/>
      <c r="L496" s="513"/>
      <c r="M496" s="509">
        <f t="shared" si="43"/>
        <v>0</v>
      </c>
      <c r="N496" s="513"/>
      <c r="O496" s="509">
        <f t="shared" si="44"/>
        <v>0</v>
      </c>
      <c r="P496" s="509">
        <f t="shared" si="45"/>
        <v>0</v>
      </c>
      <c r="Q496" s="471"/>
    </row>
    <row r="497" spans="3:17">
      <c r="C497" s="505">
        <f>IF(D441="","-",+C496+1)</f>
        <v>2063</v>
      </c>
      <c r="D497" s="469">
        <f t="shared" si="46"/>
        <v>0</v>
      </c>
      <c r="E497" s="511">
        <f t="shared" si="47"/>
        <v>0</v>
      </c>
      <c r="F497" s="511">
        <f t="shared" si="40"/>
        <v>0</v>
      </c>
      <c r="G497" s="469">
        <f t="shared" si="41"/>
        <v>0</v>
      </c>
      <c r="H497" s="506">
        <f>+J442*G497+E497</f>
        <v>0</v>
      </c>
      <c r="I497" s="512">
        <f>+J443*G497+E497</f>
        <v>0</v>
      </c>
      <c r="J497" s="509">
        <f t="shared" si="42"/>
        <v>0</v>
      </c>
      <c r="K497" s="509"/>
      <c r="L497" s="513"/>
      <c r="M497" s="509">
        <f t="shared" si="43"/>
        <v>0</v>
      </c>
      <c r="N497" s="513"/>
      <c r="O497" s="509">
        <f t="shared" si="44"/>
        <v>0</v>
      </c>
      <c r="P497" s="509">
        <f t="shared" si="45"/>
        <v>0</v>
      </c>
      <c r="Q497" s="471"/>
    </row>
    <row r="498" spans="3:17">
      <c r="C498" s="505">
        <f>IF(D441="","-",+C497+1)</f>
        <v>2064</v>
      </c>
      <c r="D498" s="469">
        <f t="shared" si="46"/>
        <v>0</v>
      </c>
      <c r="E498" s="511">
        <f t="shared" si="47"/>
        <v>0</v>
      </c>
      <c r="F498" s="511">
        <f t="shared" si="40"/>
        <v>0</v>
      </c>
      <c r="G498" s="469">
        <f t="shared" si="41"/>
        <v>0</v>
      </c>
      <c r="H498" s="506">
        <f>+J442*G498+E498</f>
        <v>0</v>
      </c>
      <c r="I498" s="512">
        <f>+J443*G498+E498</f>
        <v>0</v>
      </c>
      <c r="J498" s="509">
        <f t="shared" si="42"/>
        <v>0</v>
      </c>
      <c r="K498" s="509"/>
      <c r="L498" s="513"/>
      <c r="M498" s="509">
        <f t="shared" si="43"/>
        <v>0</v>
      </c>
      <c r="N498" s="513"/>
      <c r="O498" s="509">
        <f t="shared" si="44"/>
        <v>0</v>
      </c>
      <c r="P498" s="509">
        <f t="shared" si="45"/>
        <v>0</v>
      </c>
      <c r="Q498" s="471"/>
    </row>
    <row r="499" spans="3:17">
      <c r="C499" s="505">
        <f>IF(D441="","-",+C498+1)</f>
        <v>2065</v>
      </c>
      <c r="D499" s="469">
        <f t="shared" si="46"/>
        <v>0</v>
      </c>
      <c r="E499" s="511">
        <f t="shared" si="47"/>
        <v>0</v>
      </c>
      <c r="F499" s="511">
        <f t="shared" si="40"/>
        <v>0</v>
      </c>
      <c r="G499" s="469">
        <f t="shared" si="41"/>
        <v>0</v>
      </c>
      <c r="H499" s="506">
        <f>+J442*G499+E499</f>
        <v>0</v>
      </c>
      <c r="I499" s="512">
        <f>+J443*G499+E499</f>
        <v>0</v>
      </c>
      <c r="J499" s="509">
        <f t="shared" si="42"/>
        <v>0</v>
      </c>
      <c r="K499" s="509"/>
      <c r="L499" s="513"/>
      <c r="M499" s="509">
        <f t="shared" si="43"/>
        <v>0</v>
      </c>
      <c r="N499" s="513"/>
      <c r="O499" s="509">
        <f t="shared" si="44"/>
        <v>0</v>
      </c>
      <c r="P499" s="509">
        <f t="shared" si="45"/>
        <v>0</v>
      </c>
      <c r="Q499" s="471"/>
    </row>
    <row r="500" spans="3:17">
      <c r="C500" s="505">
        <f>IF(D441="","-",+C499+1)</f>
        <v>2066</v>
      </c>
      <c r="D500" s="469">
        <f t="shared" si="46"/>
        <v>0</v>
      </c>
      <c r="E500" s="511">
        <f t="shared" si="47"/>
        <v>0</v>
      </c>
      <c r="F500" s="511">
        <f t="shared" si="40"/>
        <v>0</v>
      </c>
      <c r="G500" s="469">
        <f t="shared" si="41"/>
        <v>0</v>
      </c>
      <c r="H500" s="506">
        <f>+J442*G500+E500</f>
        <v>0</v>
      </c>
      <c r="I500" s="512">
        <f>+J443*G500+E500</f>
        <v>0</v>
      </c>
      <c r="J500" s="509">
        <f t="shared" si="42"/>
        <v>0</v>
      </c>
      <c r="K500" s="509"/>
      <c r="L500" s="513"/>
      <c r="M500" s="509">
        <f t="shared" si="43"/>
        <v>0</v>
      </c>
      <c r="N500" s="513"/>
      <c r="O500" s="509">
        <f t="shared" si="44"/>
        <v>0</v>
      </c>
      <c r="P500" s="509">
        <f t="shared" si="45"/>
        <v>0</v>
      </c>
      <c r="Q500" s="471"/>
    </row>
    <row r="501" spans="3:17">
      <c r="C501" s="505">
        <f>IF(D441="","-",+C500+1)</f>
        <v>2067</v>
      </c>
      <c r="D501" s="469">
        <f t="shared" si="46"/>
        <v>0</v>
      </c>
      <c r="E501" s="511">
        <f t="shared" si="47"/>
        <v>0</v>
      </c>
      <c r="F501" s="511">
        <f t="shared" si="40"/>
        <v>0</v>
      </c>
      <c r="G501" s="469">
        <f t="shared" si="41"/>
        <v>0</v>
      </c>
      <c r="H501" s="506">
        <f>+J442*G501+E501</f>
        <v>0</v>
      </c>
      <c r="I501" s="512">
        <f>+J443*G501+E501</f>
        <v>0</v>
      </c>
      <c r="J501" s="509">
        <f t="shared" si="42"/>
        <v>0</v>
      </c>
      <c r="K501" s="509"/>
      <c r="L501" s="513"/>
      <c r="M501" s="509">
        <f t="shared" si="43"/>
        <v>0</v>
      </c>
      <c r="N501" s="513"/>
      <c r="O501" s="509">
        <f t="shared" si="44"/>
        <v>0</v>
      </c>
      <c r="P501" s="509">
        <f t="shared" si="45"/>
        <v>0</v>
      </c>
      <c r="Q501" s="471"/>
    </row>
    <row r="502" spans="3:17">
      <c r="C502" s="505">
        <f>IF(D441="","-",+C501+1)</f>
        <v>2068</v>
      </c>
      <c r="D502" s="469">
        <f t="shared" si="46"/>
        <v>0</v>
      </c>
      <c r="E502" s="511">
        <f t="shared" si="47"/>
        <v>0</v>
      </c>
      <c r="F502" s="511">
        <f t="shared" si="40"/>
        <v>0</v>
      </c>
      <c r="G502" s="469">
        <f t="shared" si="41"/>
        <v>0</v>
      </c>
      <c r="H502" s="506">
        <f>+J442*G502+E502</f>
        <v>0</v>
      </c>
      <c r="I502" s="512">
        <f>+J443*G502+E502</f>
        <v>0</v>
      </c>
      <c r="J502" s="509">
        <f t="shared" si="42"/>
        <v>0</v>
      </c>
      <c r="K502" s="509"/>
      <c r="L502" s="513"/>
      <c r="M502" s="509">
        <f t="shared" si="43"/>
        <v>0</v>
      </c>
      <c r="N502" s="513"/>
      <c r="O502" s="509">
        <f t="shared" si="44"/>
        <v>0</v>
      </c>
      <c r="P502" s="509">
        <f t="shared" si="45"/>
        <v>0</v>
      </c>
      <c r="Q502" s="471"/>
    </row>
    <row r="503" spans="3:17">
      <c r="C503" s="505">
        <f>IF(D441="","-",+C502+1)</f>
        <v>2069</v>
      </c>
      <c r="D503" s="469">
        <f t="shared" si="46"/>
        <v>0</v>
      </c>
      <c r="E503" s="511">
        <f t="shared" si="47"/>
        <v>0</v>
      </c>
      <c r="F503" s="511">
        <f t="shared" si="40"/>
        <v>0</v>
      </c>
      <c r="G503" s="469">
        <f t="shared" si="41"/>
        <v>0</v>
      </c>
      <c r="H503" s="506">
        <f>+J442*G503+E503</f>
        <v>0</v>
      </c>
      <c r="I503" s="512">
        <f>+J443*G503+E503</f>
        <v>0</v>
      </c>
      <c r="J503" s="509">
        <f t="shared" si="42"/>
        <v>0</v>
      </c>
      <c r="K503" s="509"/>
      <c r="L503" s="513"/>
      <c r="M503" s="509">
        <f t="shared" si="43"/>
        <v>0</v>
      </c>
      <c r="N503" s="513"/>
      <c r="O503" s="509">
        <f t="shared" si="44"/>
        <v>0</v>
      </c>
      <c r="P503" s="509">
        <f t="shared" si="45"/>
        <v>0</v>
      </c>
      <c r="Q503" s="471"/>
    </row>
    <row r="504" spans="3:17">
      <c r="C504" s="505">
        <f>IF(D441="","-",+C503+1)</f>
        <v>2070</v>
      </c>
      <c r="D504" s="469">
        <f t="shared" si="46"/>
        <v>0</v>
      </c>
      <c r="E504" s="511">
        <f t="shared" si="47"/>
        <v>0</v>
      </c>
      <c r="F504" s="511">
        <f t="shared" si="40"/>
        <v>0</v>
      </c>
      <c r="G504" s="469">
        <f t="shared" si="41"/>
        <v>0</v>
      </c>
      <c r="H504" s="506">
        <f>+J442*G504+E504</f>
        <v>0</v>
      </c>
      <c r="I504" s="512">
        <f>+J443*G504+E504</f>
        <v>0</v>
      </c>
      <c r="J504" s="509">
        <f t="shared" si="42"/>
        <v>0</v>
      </c>
      <c r="K504" s="509"/>
      <c r="L504" s="513"/>
      <c r="M504" s="509">
        <f t="shared" si="43"/>
        <v>0</v>
      </c>
      <c r="N504" s="513"/>
      <c r="O504" s="509">
        <f t="shared" si="44"/>
        <v>0</v>
      </c>
      <c r="P504" s="509">
        <f t="shared" si="45"/>
        <v>0</v>
      </c>
      <c r="Q504" s="471"/>
    </row>
    <row r="505" spans="3:17">
      <c r="C505" s="505">
        <f>IF(D441="","-",+C504+1)</f>
        <v>2071</v>
      </c>
      <c r="D505" s="469">
        <f t="shared" si="46"/>
        <v>0</v>
      </c>
      <c r="E505" s="511">
        <f t="shared" si="47"/>
        <v>0</v>
      </c>
      <c r="F505" s="511">
        <f t="shared" si="40"/>
        <v>0</v>
      </c>
      <c r="G505" s="469">
        <f t="shared" si="41"/>
        <v>0</v>
      </c>
      <c r="H505" s="506">
        <f>+J442*G505+E505</f>
        <v>0</v>
      </c>
      <c r="I505" s="512">
        <f>+J443*G505+E505</f>
        <v>0</v>
      </c>
      <c r="J505" s="509">
        <f t="shared" si="42"/>
        <v>0</v>
      </c>
      <c r="K505" s="509"/>
      <c r="L505" s="513"/>
      <c r="M505" s="509">
        <f t="shared" si="43"/>
        <v>0</v>
      </c>
      <c r="N505" s="513"/>
      <c r="O505" s="509">
        <f t="shared" si="44"/>
        <v>0</v>
      </c>
      <c r="P505" s="509">
        <f t="shared" si="45"/>
        <v>0</v>
      </c>
      <c r="Q505" s="471"/>
    </row>
    <row r="506" spans="3:17" ht="13.5" thickBot="1">
      <c r="C506" s="515">
        <f>IF(D441="","-",+C505+1)</f>
        <v>2072</v>
      </c>
      <c r="D506" s="516">
        <f t="shared" si="46"/>
        <v>0</v>
      </c>
      <c r="E506" s="976">
        <f t="shared" si="47"/>
        <v>0</v>
      </c>
      <c r="F506" s="517">
        <f t="shared" si="40"/>
        <v>0</v>
      </c>
      <c r="G506" s="516">
        <f t="shared" si="41"/>
        <v>0</v>
      </c>
      <c r="H506" s="518">
        <f>+J442*G506+E506</f>
        <v>0</v>
      </c>
      <c r="I506" s="518">
        <f>+J443*G506+E506</f>
        <v>0</v>
      </c>
      <c r="J506" s="519">
        <f t="shared" si="42"/>
        <v>0</v>
      </c>
      <c r="K506" s="509"/>
      <c r="L506" s="520"/>
      <c r="M506" s="519">
        <f t="shared" si="43"/>
        <v>0</v>
      </c>
      <c r="N506" s="520"/>
      <c r="O506" s="519">
        <f t="shared" si="44"/>
        <v>0</v>
      </c>
      <c r="P506" s="519">
        <f t="shared" si="45"/>
        <v>0</v>
      </c>
      <c r="Q506" s="471"/>
    </row>
    <row r="507" spans="3:17">
      <c r="C507" s="469" t="s">
        <v>288</v>
      </c>
      <c r="D507" s="467"/>
      <c r="E507" s="467">
        <f>SUM(E447:E506)</f>
        <v>2088950.94</v>
      </c>
      <c r="F507" s="467"/>
      <c r="G507" s="467"/>
      <c r="H507" s="467">
        <f>SUM(H447:H506)</f>
        <v>8980938.7839674242</v>
      </c>
      <c r="I507" s="467">
        <f>SUM(I447:I506)</f>
        <v>8980938.7839674242</v>
      </c>
      <c r="J507" s="467">
        <f>SUM(J447:J506)</f>
        <v>0</v>
      </c>
      <c r="K507" s="467"/>
      <c r="L507" s="467"/>
      <c r="M507" s="467"/>
      <c r="N507" s="467"/>
      <c r="O507" s="467"/>
      <c r="Q507" s="467"/>
    </row>
    <row r="508" spans="3:17">
      <c r="D508" s="79"/>
      <c r="E508" s="4"/>
      <c r="F508" s="4"/>
      <c r="G508" s="4"/>
      <c r="H508" s="4"/>
      <c r="I508" s="452"/>
      <c r="J508" s="452"/>
      <c r="K508" s="467"/>
      <c r="L508" s="452"/>
      <c r="M508" s="452"/>
      <c r="N508" s="452"/>
      <c r="O508" s="452"/>
      <c r="Q508" s="467"/>
    </row>
    <row r="509" spans="3:17">
      <c r="C509" s="4" t="s">
        <v>595</v>
      </c>
      <c r="D509" s="79"/>
      <c r="E509" s="4"/>
      <c r="F509" s="4"/>
      <c r="G509" s="4"/>
      <c r="H509" s="4"/>
      <c r="I509" s="452"/>
      <c r="J509" s="452"/>
      <c r="K509" s="467"/>
      <c r="L509" s="452"/>
      <c r="M509" s="452"/>
      <c r="N509" s="452"/>
      <c r="O509" s="452"/>
      <c r="Q509" s="467"/>
    </row>
    <row r="510" spans="3:17">
      <c r="D510" s="79"/>
      <c r="E510" s="4"/>
      <c r="F510" s="4"/>
      <c r="G510" s="4"/>
      <c r="H510" s="4"/>
      <c r="I510" s="452"/>
      <c r="J510" s="452"/>
      <c r="K510" s="467"/>
      <c r="L510" s="452"/>
      <c r="M510" s="452"/>
      <c r="N510" s="452"/>
      <c r="O510" s="452"/>
      <c r="Q510" s="467"/>
    </row>
    <row r="511" spans="3:17">
      <c r="C511" s="4" t="s">
        <v>596</v>
      </c>
      <c r="D511" s="469"/>
      <c r="E511" s="469"/>
      <c r="F511" s="469"/>
      <c r="G511" s="469"/>
      <c r="H511" s="467"/>
      <c r="I511" s="467"/>
      <c r="J511" s="471"/>
      <c r="K511" s="471"/>
      <c r="L511" s="471"/>
      <c r="M511" s="471"/>
      <c r="N511" s="471"/>
      <c r="O511" s="471"/>
      <c r="Q511" s="471"/>
    </row>
    <row r="512" spans="3:17">
      <c r="C512" s="4" t="s">
        <v>476</v>
      </c>
      <c r="D512" s="469"/>
      <c r="E512" s="469"/>
      <c r="F512" s="469"/>
      <c r="G512" s="469"/>
      <c r="H512" s="467"/>
      <c r="I512" s="467"/>
      <c r="J512" s="471"/>
      <c r="K512" s="471"/>
      <c r="L512" s="471"/>
      <c r="M512" s="471"/>
      <c r="N512" s="471"/>
      <c r="O512" s="471"/>
      <c r="Q512" s="471"/>
    </row>
    <row r="513" spans="1:17">
      <c r="C513" s="4" t="s">
        <v>289</v>
      </c>
      <c r="D513" s="469"/>
      <c r="E513" s="469"/>
      <c r="F513" s="469"/>
      <c r="G513" s="469"/>
      <c r="H513" s="467"/>
      <c r="I513" s="467"/>
      <c r="J513" s="471"/>
      <c r="K513" s="471"/>
      <c r="L513" s="471"/>
      <c r="M513" s="471"/>
      <c r="N513" s="471"/>
      <c r="O513" s="471"/>
      <c r="Q513" s="471"/>
    </row>
    <row r="514" spans="1:17" ht="20.25">
      <c r="A514" s="411" t="s">
        <v>762</v>
      </c>
      <c r="B514" s="4"/>
      <c r="C514" s="4"/>
      <c r="D514" s="79"/>
      <c r="E514" s="4"/>
      <c r="F514" s="81"/>
      <c r="G514" s="81"/>
      <c r="H514" s="4"/>
      <c r="I514" s="452"/>
      <c r="L514" s="11"/>
      <c r="M514" s="11"/>
      <c r="N514" s="11"/>
      <c r="O514" s="11" t="str">
        <f>"Page "&amp;SUM(Q$3:Q514)&amp;" of "</f>
        <v xml:space="preserve">Page 7 of </v>
      </c>
      <c r="P514" s="412">
        <f>COUNT(Q$8:Q$58212)</f>
        <v>23</v>
      </c>
      <c r="Q514" s="539">
        <v>1</v>
      </c>
    </row>
    <row r="515" spans="1:17">
      <c r="B515" s="4"/>
      <c r="C515" s="4"/>
      <c r="D515" s="79"/>
      <c r="E515" s="4"/>
      <c r="F515" s="4"/>
      <c r="G515" s="4"/>
      <c r="H515" s="4"/>
      <c r="I515" s="452"/>
      <c r="J515" s="4"/>
      <c r="K515" s="4"/>
    </row>
    <row r="516" spans="1:17" ht="18">
      <c r="B516" s="413" t="s">
        <v>174</v>
      </c>
      <c r="C516" s="472" t="s">
        <v>290</v>
      </c>
      <c r="D516" s="79"/>
      <c r="E516" s="4"/>
      <c r="F516" s="4"/>
      <c r="G516" s="4"/>
      <c r="H516" s="4"/>
      <c r="I516" s="452"/>
      <c r="J516" s="452"/>
      <c r="K516" s="467"/>
      <c r="L516" s="452"/>
      <c r="M516" s="452"/>
      <c r="N516" s="452"/>
      <c r="O516" s="452"/>
      <c r="Q516" s="467"/>
    </row>
    <row r="517" spans="1:17" ht="18.75">
      <c r="B517" s="413"/>
      <c r="C517" s="13"/>
      <c r="D517" s="79"/>
      <c r="E517" s="4"/>
      <c r="F517" s="4"/>
      <c r="G517" s="4"/>
      <c r="H517" s="4"/>
      <c r="I517" s="452"/>
      <c r="J517" s="452"/>
      <c r="K517" s="467"/>
      <c r="L517" s="452"/>
      <c r="M517" s="452"/>
      <c r="N517" s="452"/>
      <c r="O517" s="452"/>
      <c r="Q517" s="467"/>
    </row>
    <row r="518" spans="1:17" ht="18.75">
      <c r="B518" s="413"/>
      <c r="C518" s="13" t="s">
        <v>291</v>
      </c>
      <c r="D518" s="79"/>
      <c r="E518" s="4"/>
      <c r="F518" s="4"/>
      <c r="G518" s="4"/>
      <c r="H518" s="4"/>
      <c r="I518" s="452"/>
      <c r="J518" s="452"/>
      <c r="K518" s="467"/>
      <c r="L518" s="452"/>
      <c r="M518" s="452"/>
      <c r="N518" s="452"/>
      <c r="O518" s="452"/>
      <c r="Q518" s="467"/>
    </row>
    <row r="519" spans="1:17" ht="15.75" thickBot="1">
      <c r="C519" s="247"/>
      <c r="D519" s="79"/>
      <c r="E519" s="4"/>
      <c r="F519" s="4"/>
      <c r="G519" s="4"/>
      <c r="H519" s="4"/>
      <c r="I519" s="452"/>
      <c r="J519" s="452"/>
      <c r="K519" s="467"/>
      <c r="L519" s="452"/>
      <c r="M519" s="452"/>
      <c r="N519" s="452"/>
      <c r="O519" s="452"/>
      <c r="Q519" s="467"/>
    </row>
    <row r="520" spans="1:17" ht="15.75">
      <c r="C520" s="414" t="s">
        <v>292</v>
      </c>
      <c r="D520" s="79"/>
      <c r="E520" s="4"/>
      <c r="F520" s="4"/>
      <c r="G520" s="4"/>
      <c r="H520" s="635"/>
      <c r="I520" s="4" t="s">
        <v>271</v>
      </c>
      <c r="J520" s="4"/>
      <c r="K520" s="4"/>
      <c r="L520" s="540">
        <f>+J526</f>
        <v>2025</v>
      </c>
      <c r="M520" s="524" t="s">
        <v>254</v>
      </c>
      <c r="N520" s="524" t="s">
        <v>255</v>
      </c>
      <c r="O520" s="525" t="s">
        <v>256</v>
      </c>
    </row>
    <row r="521" spans="1:17" ht="15.75">
      <c r="C521" s="414"/>
      <c r="D521" s="79"/>
      <c r="E521" s="4"/>
      <c r="F521" s="4"/>
      <c r="H521" s="4"/>
      <c r="I521" s="476"/>
      <c r="J521" s="476"/>
      <c r="K521" s="477"/>
      <c r="L521" s="541" t="s">
        <v>455</v>
      </c>
      <c r="M521" s="542">
        <f>VLOOKUP(J526,C533:P592,10)</f>
        <v>758269.94876985333</v>
      </c>
      <c r="N521" s="542">
        <f>VLOOKUP(J526,C533:P592,12)</f>
        <v>758269.94876985333</v>
      </c>
      <c r="O521" s="543">
        <f>+N521-M521</f>
        <v>0</v>
      </c>
      <c r="Q521" s="477"/>
    </row>
    <row r="522" spans="1:17">
      <c r="C522" s="479" t="s">
        <v>293</v>
      </c>
      <c r="D522" s="1274" t="s">
        <v>929</v>
      </c>
      <c r="E522" s="1274"/>
      <c r="F522" s="1274"/>
      <c r="G522" s="1274"/>
      <c r="H522" s="1274"/>
      <c r="I522" s="1274"/>
      <c r="J522" s="452"/>
      <c r="K522" s="467"/>
      <c r="L522" s="541" t="s">
        <v>456</v>
      </c>
      <c r="M522" s="544">
        <f>VLOOKUP(J526,C533:P592,6)</f>
        <v>780072.7308118504</v>
      </c>
      <c r="N522" s="544">
        <f>VLOOKUP(J526,C533:P592,7)</f>
        <v>780072.7308118504</v>
      </c>
      <c r="O522" s="545">
        <f>+N522-M522</f>
        <v>0</v>
      </c>
      <c r="Q522" s="467"/>
    </row>
    <row r="523" spans="1:17" ht="13.5" thickBot="1">
      <c r="C523" s="481"/>
      <c r="D523" s="1274" t="s">
        <v>114</v>
      </c>
      <c r="E523" s="1274"/>
      <c r="F523" s="1274"/>
      <c r="G523" s="1274"/>
      <c r="H523" s="1274"/>
      <c r="I523" s="1274"/>
      <c r="J523" s="452"/>
      <c r="K523" s="467"/>
      <c r="L523" s="492" t="s">
        <v>457</v>
      </c>
      <c r="M523" s="546">
        <f>+M522-M521</f>
        <v>21802.782041997067</v>
      </c>
      <c r="N523" s="546">
        <f>+N522-N521</f>
        <v>21802.782041997067</v>
      </c>
      <c r="O523" s="547">
        <f>+O522-O521</f>
        <v>0</v>
      </c>
      <c r="Q523" s="467"/>
    </row>
    <row r="524" spans="1:17" ht="13.5" thickBot="1">
      <c r="C524" s="481"/>
      <c r="D524" s="4"/>
      <c r="E524" s="483"/>
      <c r="F524" s="483"/>
      <c r="G524" s="483"/>
      <c r="H524" s="483"/>
      <c r="I524" s="483"/>
      <c r="J524" s="483"/>
      <c r="K524" s="483"/>
      <c r="L524" s="483"/>
      <c r="M524" s="483"/>
      <c r="N524" s="483"/>
      <c r="O524" s="483"/>
      <c r="Q524" s="483"/>
    </row>
    <row r="525" spans="1:17" ht="13.5" thickBot="1">
      <c r="C525" s="484" t="s">
        <v>294</v>
      </c>
      <c r="D525" s="485"/>
      <c r="E525" s="485"/>
      <c r="F525" s="485"/>
      <c r="G525" s="485"/>
      <c r="H525" s="485"/>
      <c r="I525" s="485"/>
      <c r="J525" s="485"/>
      <c r="Q525"/>
    </row>
    <row r="526" spans="1:17" ht="15">
      <c r="A526" s="977"/>
      <c r="C526" s="487" t="s">
        <v>272</v>
      </c>
      <c r="D526" s="952">
        <v>5507426.1299999999</v>
      </c>
      <c r="E526" s="4" t="s">
        <v>273</v>
      </c>
      <c r="H526" s="79"/>
      <c r="I526" s="79"/>
      <c r="J526" s="488">
        <f>$J$95</f>
        <v>2025</v>
      </c>
      <c r="K526" s="135"/>
      <c r="L526" s="1287" t="s">
        <v>274</v>
      </c>
      <c r="M526" s="1287"/>
      <c r="N526" s="1287"/>
      <c r="O526" s="1287"/>
      <c r="Q526" s="135"/>
    </row>
    <row r="527" spans="1:17">
      <c r="A527" s="977"/>
      <c r="C527" s="487" t="s">
        <v>275</v>
      </c>
      <c r="D527" s="644">
        <v>2016</v>
      </c>
      <c r="E527" s="487" t="s">
        <v>276</v>
      </c>
      <c r="F527" s="79"/>
      <c r="G527" s="79"/>
      <c r="I527"/>
      <c r="J527" s="638">
        <v>0</v>
      </c>
      <c r="K527" s="489"/>
      <c r="L527" s="467" t="s">
        <v>475</v>
      </c>
      <c r="Q527" s="489"/>
    </row>
    <row r="528" spans="1:17">
      <c r="A528" s="977"/>
      <c r="C528" s="487" t="s">
        <v>277</v>
      </c>
      <c r="D528" s="952">
        <v>6</v>
      </c>
      <c r="E528" s="487" t="s">
        <v>278</v>
      </c>
      <c r="F528" s="79"/>
      <c r="G528" s="79"/>
      <c r="I528"/>
      <c r="J528" s="490">
        <f>$F$70</f>
        <v>0.14996626714737105</v>
      </c>
      <c r="K528" s="81"/>
      <c r="L528" s="4" t="str">
        <f>"          INPUT TRUE-UP ARR (WITH &amp; WITHOUT INCENTIVES) FROM EACH PRIOR YEAR"</f>
        <v xml:space="preserve">          INPUT TRUE-UP ARR (WITH &amp; WITHOUT INCENTIVES) FROM EACH PRIOR YEAR</v>
      </c>
      <c r="Q528" s="81"/>
    </row>
    <row r="529" spans="1:17">
      <c r="A529" s="977"/>
      <c r="C529" s="487" t="s">
        <v>279</v>
      </c>
      <c r="D529" s="491">
        <f>H79</f>
        <v>42</v>
      </c>
      <c r="E529" s="487" t="s">
        <v>280</v>
      </c>
      <c r="F529" s="79"/>
      <c r="G529" s="79"/>
      <c r="I529"/>
      <c r="J529" s="490">
        <f>IF(H520="",J528,$F$69)</f>
        <v>0.14996626714737105</v>
      </c>
      <c r="K529" s="81"/>
      <c r="L529" s="4" t="s">
        <v>362</v>
      </c>
      <c r="M529" s="81"/>
      <c r="N529" s="81"/>
      <c r="O529" s="81"/>
      <c r="Q529" s="81"/>
    </row>
    <row r="530" spans="1:17" ht="13.5" thickBot="1">
      <c r="A530" s="977"/>
      <c r="C530" s="487" t="s">
        <v>281</v>
      </c>
      <c r="D530" s="637" t="s">
        <v>923</v>
      </c>
      <c r="E530" s="492" t="s">
        <v>282</v>
      </c>
      <c r="F530" s="493"/>
      <c r="G530" s="493"/>
      <c r="H530" s="494"/>
      <c r="I530" s="494"/>
      <c r="J530" s="480">
        <f>IF(D526=0,0,D526/D529)</f>
        <v>131129.19357142856</v>
      </c>
      <c r="K530" s="467"/>
      <c r="L530" s="467" t="s">
        <v>363</v>
      </c>
      <c r="M530" s="467"/>
      <c r="N530" s="467"/>
      <c r="O530" s="467"/>
      <c r="Q530" s="467"/>
    </row>
    <row r="531" spans="1:17" ht="38.25">
      <c r="A531" s="12"/>
      <c r="B531" s="12"/>
      <c r="C531" s="495" t="s">
        <v>272</v>
      </c>
      <c r="D531" s="496" t="s">
        <v>283</v>
      </c>
      <c r="E531" s="497" t="s">
        <v>284</v>
      </c>
      <c r="F531" s="496" t="s">
        <v>285</v>
      </c>
      <c r="G531" s="496" t="s">
        <v>458</v>
      </c>
      <c r="H531" s="497" t="s">
        <v>356</v>
      </c>
      <c r="I531" s="498" t="s">
        <v>356</v>
      </c>
      <c r="J531" s="495" t="s">
        <v>295</v>
      </c>
      <c r="K531" s="499"/>
      <c r="L531" s="497" t="s">
        <v>358</v>
      </c>
      <c r="M531" s="497" t="s">
        <v>364</v>
      </c>
      <c r="N531" s="497" t="s">
        <v>358</v>
      </c>
      <c r="O531" s="497" t="s">
        <v>366</v>
      </c>
      <c r="P531" s="497" t="s">
        <v>286</v>
      </c>
      <c r="Q531" s="128"/>
    </row>
    <row r="532" spans="1:17" ht="13.5" thickBot="1">
      <c r="C532" s="500" t="s">
        <v>177</v>
      </c>
      <c r="D532" s="501" t="s">
        <v>178</v>
      </c>
      <c r="E532" s="500" t="s">
        <v>37</v>
      </c>
      <c r="F532" s="501" t="s">
        <v>178</v>
      </c>
      <c r="G532" s="501" t="s">
        <v>178</v>
      </c>
      <c r="H532" s="502" t="s">
        <v>298</v>
      </c>
      <c r="I532" s="503" t="s">
        <v>300</v>
      </c>
      <c r="J532" s="500" t="s">
        <v>389</v>
      </c>
      <c r="K532" s="504"/>
      <c r="L532" s="502" t="s">
        <v>287</v>
      </c>
      <c r="M532" s="502" t="s">
        <v>287</v>
      </c>
      <c r="N532" s="502" t="s">
        <v>467</v>
      </c>
      <c r="O532" s="502" t="s">
        <v>467</v>
      </c>
      <c r="P532" s="502" t="s">
        <v>467</v>
      </c>
      <c r="Q532" s="135"/>
    </row>
    <row r="533" spans="1:17">
      <c r="C533" s="505">
        <f>IF(D527= "","-",D527)</f>
        <v>2016</v>
      </c>
      <c r="D533" s="469">
        <f>+D526</f>
        <v>5507426.1299999999</v>
      </c>
      <c r="E533" s="506">
        <f>+J530/12*(12-D528)</f>
        <v>65564.596785714282</v>
      </c>
      <c r="F533" s="548">
        <f t="shared" ref="F533:F592" si="48">+D533-E533</f>
        <v>5441861.533214286</v>
      </c>
      <c r="G533" s="469">
        <f t="shared" ref="G533:G592" si="49">+(D533+F533)/2</f>
        <v>5474643.8316071425</v>
      </c>
      <c r="H533" s="507">
        <f>+J528*G533+E533</f>
        <v>886576.49617321801</v>
      </c>
      <c r="I533" s="508">
        <f>+J529*G533+E533</f>
        <v>886576.49617321801</v>
      </c>
      <c r="J533" s="509">
        <f t="shared" ref="J533:J592" si="50">+I533-H533</f>
        <v>0</v>
      </c>
      <c r="K533" s="509"/>
      <c r="L533" s="513">
        <v>42109</v>
      </c>
      <c r="M533" s="549">
        <f t="shared" ref="M533:M592" si="51">IF(L533&lt;&gt;0,+H533-L533,0)</f>
        <v>844467.49617321801</v>
      </c>
      <c r="N533" s="513">
        <v>42109</v>
      </c>
      <c r="O533" s="549">
        <f t="shared" ref="O533:O592" si="52">IF(N533&lt;&gt;0,+I533-N533,0)</f>
        <v>844467.49617321801</v>
      </c>
      <c r="P533" s="549">
        <f t="shared" ref="P533:P592" si="53">+O533-M533</f>
        <v>0</v>
      </c>
      <c r="Q533" s="471"/>
    </row>
    <row r="534" spans="1:17">
      <c r="C534" s="505">
        <f>IF(D527="","-",+C533+1)</f>
        <v>2017</v>
      </c>
      <c r="D534" s="469">
        <f t="shared" ref="D534:D592" si="54">F533</f>
        <v>5441861.533214286</v>
      </c>
      <c r="E534" s="511">
        <f>$J$530</f>
        <v>131129.19357142856</v>
      </c>
      <c r="F534" s="511">
        <f t="shared" si="48"/>
        <v>5310732.3396428572</v>
      </c>
      <c r="G534" s="469">
        <f t="shared" si="49"/>
        <v>5376296.9364285711</v>
      </c>
      <c r="H534" s="506">
        <f>+J528*G534+E534</f>
        <v>937392.37620346819</v>
      </c>
      <c r="I534" s="512">
        <f>+J529*G534+E534</f>
        <v>937392.37620346819</v>
      </c>
      <c r="J534" s="509">
        <f t="shared" si="50"/>
        <v>0</v>
      </c>
      <c r="K534" s="509"/>
      <c r="L534" s="513">
        <v>41186</v>
      </c>
      <c r="M534" s="509">
        <f t="shared" si="51"/>
        <v>896206.37620346819</v>
      </c>
      <c r="N534" s="513">
        <v>41186</v>
      </c>
      <c r="O534" s="509">
        <f t="shared" si="52"/>
        <v>896206.37620346819</v>
      </c>
      <c r="P534" s="509">
        <f t="shared" si="53"/>
        <v>0</v>
      </c>
      <c r="Q534" s="471"/>
    </row>
    <row r="535" spans="1:17">
      <c r="C535" s="505">
        <f>IF(D527="","-",+C534+1)</f>
        <v>2018</v>
      </c>
      <c r="D535" s="469">
        <f t="shared" si="54"/>
        <v>5310732.3396428572</v>
      </c>
      <c r="E535" s="511">
        <f t="shared" ref="E535:E577" si="55">$J$530</f>
        <v>131129.19357142856</v>
      </c>
      <c r="F535" s="511">
        <f t="shared" si="48"/>
        <v>5179603.1460714284</v>
      </c>
      <c r="G535" s="469">
        <f t="shared" si="49"/>
        <v>5245167.7428571433</v>
      </c>
      <c r="H535" s="506">
        <f>+J528*G535+E535</f>
        <v>917727.42052951606</v>
      </c>
      <c r="I535" s="512">
        <f>+J529*G535+E535</f>
        <v>917727.42052951606</v>
      </c>
      <c r="J535" s="509">
        <f t="shared" si="50"/>
        <v>0</v>
      </c>
      <c r="K535" s="509"/>
      <c r="L535" s="513">
        <v>-7120</v>
      </c>
      <c r="M535" s="509">
        <f t="shared" si="51"/>
        <v>924847.42052951606</v>
      </c>
      <c r="N535" s="513">
        <v>-7120</v>
      </c>
      <c r="O535" s="509">
        <f t="shared" si="52"/>
        <v>924847.42052951606</v>
      </c>
      <c r="P535" s="509">
        <f t="shared" si="53"/>
        <v>0</v>
      </c>
      <c r="Q535" s="471"/>
    </row>
    <row r="536" spans="1:17">
      <c r="C536" s="505">
        <f>IF(D527="","-",+C535+1)</f>
        <v>2019</v>
      </c>
      <c r="D536" s="469">
        <f t="shared" si="54"/>
        <v>5179603.1460714284</v>
      </c>
      <c r="E536" s="511">
        <f t="shared" si="55"/>
        <v>131129.19357142856</v>
      </c>
      <c r="F536" s="511">
        <f t="shared" si="48"/>
        <v>5048473.9524999997</v>
      </c>
      <c r="G536" s="469">
        <f t="shared" si="49"/>
        <v>5114038.5492857136</v>
      </c>
      <c r="H536" s="506">
        <f>+J528*G536+E536</f>
        <v>898062.46485556371</v>
      </c>
      <c r="I536" s="512">
        <f>+J529*G536+E536</f>
        <v>898062.46485556371</v>
      </c>
      <c r="J536" s="509">
        <f t="shared" si="50"/>
        <v>0</v>
      </c>
      <c r="K536" s="509"/>
      <c r="L536" s="513">
        <v>25082</v>
      </c>
      <c r="M536" s="509">
        <f t="shared" si="51"/>
        <v>872980.46485556371</v>
      </c>
      <c r="N536" s="513">
        <v>25082</v>
      </c>
      <c r="O536" s="509">
        <f t="shared" si="52"/>
        <v>872980.46485556371</v>
      </c>
      <c r="P536" s="509">
        <f t="shared" si="53"/>
        <v>0</v>
      </c>
      <c r="Q536" s="471"/>
    </row>
    <row r="537" spans="1:17">
      <c r="C537" s="505">
        <f>IF(D527="","-",+C536+1)</f>
        <v>2020</v>
      </c>
      <c r="D537" s="469">
        <f t="shared" si="54"/>
        <v>5048473.9524999997</v>
      </c>
      <c r="E537" s="511">
        <f t="shared" si="55"/>
        <v>131129.19357142856</v>
      </c>
      <c r="F537" s="511">
        <f t="shared" si="48"/>
        <v>4917344.7589285709</v>
      </c>
      <c r="G537" s="469">
        <f t="shared" si="49"/>
        <v>4982909.3557142857</v>
      </c>
      <c r="H537" s="506">
        <f>+J528*G537+E537</f>
        <v>878397.50918161171</v>
      </c>
      <c r="I537" s="512">
        <f>+J529*G537+E537</f>
        <v>878397.50918161171</v>
      </c>
      <c r="J537" s="509">
        <f t="shared" si="50"/>
        <v>0</v>
      </c>
      <c r="K537" s="509"/>
      <c r="L537" s="513">
        <v>863947.67309387273</v>
      </c>
      <c r="M537" s="509">
        <f t="shared" si="51"/>
        <v>14449.836087738979</v>
      </c>
      <c r="N537" s="513">
        <v>863947.67309387273</v>
      </c>
      <c r="O537" s="509">
        <f t="shared" si="52"/>
        <v>14449.836087738979</v>
      </c>
      <c r="P537" s="509">
        <f t="shared" si="53"/>
        <v>0</v>
      </c>
      <c r="Q537" s="471"/>
    </row>
    <row r="538" spans="1:17">
      <c r="C538" s="505">
        <f>IF(D527="","-",+C537+1)</f>
        <v>2021</v>
      </c>
      <c r="D538" s="941">
        <f t="shared" si="54"/>
        <v>4917344.7589285709</v>
      </c>
      <c r="E538" s="511">
        <f t="shared" si="55"/>
        <v>131129.19357142856</v>
      </c>
      <c r="F538" s="511">
        <f t="shared" si="48"/>
        <v>4786215.5653571421</v>
      </c>
      <c r="G538" s="469">
        <f t="shared" si="49"/>
        <v>4851780.162142856</v>
      </c>
      <c r="H538" s="506">
        <f>+J528*G538+E538</f>
        <v>858732.55350765935</v>
      </c>
      <c r="I538" s="512">
        <f>+J529*G538+E538</f>
        <v>858732.55350765935</v>
      </c>
      <c r="J538" s="509">
        <f t="shared" si="50"/>
        <v>0</v>
      </c>
      <c r="K538" s="509"/>
      <c r="L538" s="513">
        <v>824944.69961098279</v>
      </c>
      <c r="M538" s="509">
        <f t="shared" si="51"/>
        <v>33787.853896676563</v>
      </c>
      <c r="N538" s="513">
        <v>824944.69961098279</v>
      </c>
      <c r="O538" s="509">
        <f t="shared" si="52"/>
        <v>33787.853896676563</v>
      </c>
      <c r="P538" s="509">
        <f t="shared" si="53"/>
        <v>0</v>
      </c>
      <c r="Q538" s="471"/>
    </row>
    <row r="539" spans="1:17">
      <c r="C539" s="505">
        <f>IF(D527="","-",+C538+1)</f>
        <v>2022</v>
      </c>
      <c r="D539" s="941">
        <f t="shared" si="54"/>
        <v>4786215.5653571421</v>
      </c>
      <c r="E539" s="511">
        <f t="shared" si="55"/>
        <v>131129.19357142856</v>
      </c>
      <c r="F539" s="511">
        <f t="shared" si="48"/>
        <v>4655086.3717857134</v>
      </c>
      <c r="G539" s="469">
        <f t="shared" si="49"/>
        <v>4720650.9685714282</v>
      </c>
      <c r="H539" s="506">
        <f>+J528*G539+E539</f>
        <v>839067.59783370723</v>
      </c>
      <c r="I539" s="512">
        <f>+J529*G539+E539</f>
        <v>839067.59783370723</v>
      </c>
      <c r="J539" s="509">
        <f t="shared" si="50"/>
        <v>0</v>
      </c>
      <c r="K539" s="509"/>
      <c r="L539" s="513">
        <v>810373.6216523773</v>
      </c>
      <c r="M539" s="509">
        <f t="shared" si="51"/>
        <v>28693.976181329926</v>
      </c>
      <c r="N539" s="513">
        <v>810373.6216523773</v>
      </c>
      <c r="O539" s="509">
        <f t="shared" si="52"/>
        <v>28693.976181329926</v>
      </c>
      <c r="P539" s="509">
        <f t="shared" si="53"/>
        <v>0</v>
      </c>
      <c r="Q539" s="471"/>
    </row>
    <row r="540" spans="1:17">
      <c r="C540" s="505">
        <f>IF(D527="","-",+C539+1)</f>
        <v>2023</v>
      </c>
      <c r="D540" s="469">
        <f t="shared" si="54"/>
        <v>4655086.3717857134</v>
      </c>
      <c r="E540" s="511">
        <f t="shared" si="55"/>
        <v>131129.19357142856</v>
      </c>
      <c r="F540" s="511">
        <f t="shared" si="48"/>
        <v>4523957.1782142846</v>
      </c>
      <c r="G540" s="469">
        <f t="shared" si="49"/>
        <v>4589521.7749999985</v>
      </c>
      <c r="H540" s="506">
        <f>+J528*G540+E540</f>
        <v>819402.64215975488</v>
      </c>
      <c r="I540" s="512">
        <f>+J529*G540+E540</f>
        <v>819402.64215975488</v>
      </c>
      <c r="J540" s="509">
        <f t="shared" si="50"/>
        <v>0</v>
      </c>
      <c r="K540" s="509"/>
      <c r="L540" s="513">
        <v>823634.16907002113</v>
      </c>
      <c r="M540" s="509">
        <f t="shared" si="51"/>
        <v>-4231.5269102662569</v>
      </c>
      <c r="N540" s="513">
        <v>823634.16907002113</v>
      </c>
      <c r="O540" s="509">
        <f t="shared" si="52"/>
        <v>-4231.5269102662569</v>
      </c>
      <c r="P540" s="509">
        <f t="shared" si="53"/>
        <v>0</v>
      </c>
      <c r="Q540" s="471"/>
    </row>
    <row r="541" spans="1:17">
      <c r="C541" s="505">
        <f>IF(D527="","-",+C540+1)</f>
        <v>2024</v>
      </c>
      <c r="D541" s="469">
        <f t="shared" si="54"/>
        <v>4523957.1782142846</v>
      </c>
      <c r="E541" s="511">
        <f t="shared" si="55"/>
        <v>131129.19357142856</v>
      </c>
      <c r="F541" s="511">
        <f t="shared" si="48"/>
        <v>4392827.9846428558</v>
      </c>
      <c r="G541" s="469">
        <f t="shared" si="49"/>
        <v>4458392.5814285707</v>
      </c>
      <c r="H541" s="506">
        <f>+J528*G541+E541</f>
        <v>799737.68648580275</v>
      </c>
      <c r="I541" s="512">
        <f>+J529*G541+E541</f>
        <v>799737.68648580275</v>
      </c>
      <c r="J541" s="509">
        <f t="shared" si="50"/>
        <v>0</v>
      </c>
      <c r="K541" s="509"/>
      <c r="L541" s="513">
        <v>800538.21620351961</v>
      </c>
      <c r="M541" s="509">
        <f t="shared" si="51"/>
        <v>-800.52971771685407</v>
      </c>
      <c r="N541" s="513">
        <v>800538.21620351961</v>
      </c>
      <c r="O541" s="509">
        <f t="shared" si="52"/>
        <v>-800.52971771685407</v>
      </c>
      <c r="P541" s="509">
        <f t="shared" si="53"/>
        <v>0</v>
      </c>
      <c r="Q541" s="471"/>
    </row>
    <row r="542" spans="1:17">
      <c r="C542" s="963">
        <f>IF(D527="","-",+C541+1)</f>
        <v>2025</v>
      </c>
      <c r="D542" s="469">
        <f t="shared" si="54"/>
        <v>4392827.9846428558</v>
      </c>
      <c r="E542" s="511">
        <f t="shared" si="55"/>
        <v>131129.19357142856</v>
      </c>
      <c r="F542" s="511">
        <f t="shared" si="48"/>
        <v>4261698.7910714271</v>
      </c>
      <c r="G542" s="469">
        <f t="shared" si="49"/>
        <v>4327263.387857141</v>
      </c>
      <c r="H542" s="506">
        <f>+J528*G542+E542</f>
        <v>780072.7308118504</v>
      </c>
      <c r="I542" s="512">
        <f>+J529*G542+E542</f>
        <v>780072.7308118504</v>
      </c>
      <c r="J542" s="509">
        <f t="shared" si="50"/>
        <v>0</v>
      </c>
      <c r="K542" s="509"/>
      <c r="L542" s="513">
        <v>758269.94876985333</v>
      </c>
      <c r="M542" s="509">
        <f t="shared" si="51"/>
        <v>21802.782041997067</v>
      </c>
      <c r="N542" s="513">
        <v>758269.94876985333</v>
      </c>
      <c r="O542" s="509">
        <f t="shared" si="52"/>
        <v>21802.782041997067</v>
      </c>
      <c r="P542" s="509">
        <f t="shared" si="53"/>
        <v>0</v>
      </c>
      <c r="Q542" s="471"/>
    </row>
    <row r="543" spans="1:17">
      <c r="C543" s="505">
        <f>IF(D527="","-",+C542+1)</f>
        <v>2026</v>
      </c>
      <c r="D543" s="469">
        <f t="shared" si="54"/>
        <v>4261698.7910714271</v>
      </c>
      <c r="E543" s="511">
        <f t="shared" si="55"/>
        <v>131129.19357142856</v>
      </c>
      <c r="F543" s="511">
        <f t="shared" si="48"/>
        <v>4130569.5974999983</v>
      </c>
      <c r="G543" s="469">
        <f t="shared" si="49"/>
        <v>4196134.1942857131</v>
      </c>
      <c r="H543" s="506">
        <f>+J528*G543+E543</f>
        <v>760407.7751378984</v>
      </c>
      <c r="I543" s="512">
        <f>+J529*G543+E543</f>
        <v>760407.7751378984</v>
      </c>
      <c r="J543" s="509">
        <f t="shared" si="50"/>
        <v>0</v>
      </c>
      <c r="K543" s="509"/>
      <c r="L543" s="513"/>
      <c r="M543" s="509">
        <f t="shared" si="51"/>
        <v>0</v>
      </c>
      <c r="N543" s="513"/>
      <c r="O543" s="509">
        <f t="shared" si="52"/>
        <v>0</v>
      </c>
      <c r="P543" s="509">
        <f t="shared" si="53"/>
        <v>0</v>
      </c>
      <c r="Q543" s="471"/>
    </row>
    <row r="544" spans="1:17">
      <c r="C544" s="505">
        <f>IF(D527="","-",+C543+1)</f>
        <v>2027</v>
      </c>
      <c r="D544" s="469">
        <f t="shared" si="54"/>
        <v>4130569.5974999983</v>
      </c>
      <c r="E544" s="511">
        <f t="shared" si="55"/>
        <v>131129.19357142856</v>
      </c>
      <c r="F544" s="511">
        <f t="shared" si="48"/>
        <v>3999440.4039285695</v>
      </c>
      <c r="G544" s="469">
        <f t="shared" si="49"/>
        <v>4065005.0007142839</v>
      </c>
      <c r="H544" s="506">
        <f>+J528*G544+E544</f>
        <v>740742.81946394604</v>
      </c>
      <c r="I544" s="512">
        <f>+J529*G544+E544</f>
        <v>740742.81946394604</v>
      </c>
      <c r="J544" s="509">
        <f t="shared" si="50"/>
        <v>0</v>
      </c>
      <c r="K544" s="509"/>
      <c r="L544" s="513"/>
      <c r="M544" s="509">
        <f t="shared" si="51"/>
        <v>0</v>
      </c>
      <c r="N544" s="513"/>
      <c r="O544" s="509">
        <f t="shared" si="52"/>
        <v>0</v>
      </c>
      <c r="P544" s="509">
        <f t="shared" si="53"/>
        <v>0</v>
      </c>
      <c r="Q544" s="471"/>
    </row>
    <row r="545" spans="3:17">
      <c r="C545" s="505">
        <f>IF(D527="","-",+C544+1)</f>
        <v>2028</v>
      </c>
      <c r="D545" s="469">
        <f t="shared" si="54"/>
        <v>3999440.4039285695</v>
      </c>
      <c r="E545" s="511">
        <f t="shared" si="55"/>
        <v>131129.19357142856</v>
      </c>
      <c r="F545" s="511">
        <f t="shared" si="48"/>
        <v>3868311.2103571407</v>
      </c>
      <c r="G545" s="469">
        <f t="shared" si="49"/>
        <v>3933875.8071428551</v>
      </c>
      <c r="H545" s="506">
        <f>+J528*G545+E545</f>
        <v>721077.8637899938</v>
      </c>
      <c r="I545" s="512">
        <f>+J529*G545+E545</f>
        <v>721077.8637899938</v>
      </c>
      <c r="J545" s="509">
        <f t="shared" si="50"/>
        <v>0</v>
      </c>
      <c r="K545" s="509"/>
      <c r="L545" s="513"/>
      <c r="M545" s="509">
        <f t="shared" si="51"/>
        <v>0</v>
      </c>
      <c r="N545" s="513"/>
      <c r="O545" s="509">
        <f t="shared" si="52"/>
        <v>0</v>
      </c>
      <c r="P545" s="509">
        <f t="shared" si="53"/>
        <v>0</v>
      </c>
      <c r="Q545" s="471"/>
    </row>
    <row r="546" spans="3:17">
      <c r="C546" s="505">
        <f>IF(D527="","-",+C545+1)</f>
        <v>2029</v>
      </c>
      <c r="D546" s="469">
        <f t="shared" si="54"/>
        <v>3868311.2103571407</v>
      </c>
      <c r="E546" s="511">
        <f t="shared" si="55"/>
        <v>131129.19357142856</v>
      </c>
      <c r="F546" s="511">
        <f t="shared" si="48"/>
        <v>3737182.016785712</v>
      </c>
      <c r="G546" s="469">
        <f t="shared" si="49"/>
        <v>3802746.6135714264</v>
      </c>
      <c r="H546" s="506">
        <f>+J528*G546+E546</f>
        <v>701412.90811604168</v>
      </c>
      <c r="I546" s="512">
        <f>+J529*G546+E546</f>
        <v>701412.90811604168</v>
      </c>
      <c r="J546" s="509">
        <f t="shared" si="50"/>
        <v>0</v>
      </c>
      <c r="K546" s="509"/>
      <c r="L546" s="513"/>
      <c r="M546" s="509">
        <f t="shared" si="51"/>
        <v>0</v>
      </c>
      <c r="N546" s="513"/>
      <c r="O546" s="509">
        <f t="shared" si="52"/>
        <v>0</v>
      </c>
      <c r="P546" s="509">
        <f t="shared" si="53"/>
        <v>0</v>
      </c>
      <c r="Q546" s="471"/>
    </row>
    <row r="547" spans="3:17">
      <c r="C547" s="505">
        <f>IF(D527="","-",+C546+1)</f>
        <v>2030</v>
      </c>
      <c r="D547" s="469">
        <f t="shared" si="54"/>
        <v>3737182.016785712</v>
      </c>
      <c r="E547" s="511">
        <f t="shared" si="55"/>
        <v>131129.19357142856</v>
      </c>
      <c r="F547" s="511">
        <f t="shared" si="48"/>
        <v>3606052.8232142832</v>
      </c>
      <c r="G547" s="469">
        <f t="shared" si="49"/>
        <v>3671617.4199999976</v>
      </c>
      <c r="H547" s="506">
        <f>+J528*G547+E547</f>
        <v>681747.95244208944</v>
      </c>
      <c r="I547" s="512">
        <f>+J529*G547+E547</f>
        <v>681747.95244208944</v>
      </c>
      <c r="J547" s="509">
        <f t="shared" si="50"/>
        <v>0</v>
      </c>
      <c r="K547" s="509"/>
      <c r="L547" s="513"/>
      <c r="M547" s="509">
        <f t="shared" si="51"/>
        <v>0</v>
      </c>
      <c r="N547" s="513"/>
      <c r="O547" s="509">
        <f t="shared" si="52"/>
        <v>0</v>
      </c>
      <c r="P547" s="509">
        <f t="shared" si="53"/>
        <v>0</v>
      </c>
      <c r="Q547" s="471"/>
    </row>
    <row r="548" spans="3:17">
      <c r="C548" s="505">
        <f>IF(D527="","-",+C547+1)</f>
        <v>2031</v>
      </c>
      <c r="D548" s="469">
        <f t="shared" si="54"/>
        <v>3606052.8232142832</v>
      </c>
      <c r="E548" s="511">
        <f t="shared" si="55"/>
        <v>131129.19357142856</v>
      </c>
      <c r="F548" s="511">
        <f t="shared" si="48"/>
        <v>3474923.6296428544</v>
      </c>
      <c r="G548" s="469">
        <f t="shared" si="49"/>
        <v>3540488.2264285688</v>
      </c>
      <c r="H548" s="506">
        <f>+J528*G548+E548</f>
        <v>662082.99676813721</v>
      </c>
      <c r="I548" s="512">
        <f>+J529*G548+E548</f>
        <v>662082.99676813721</v>
      </c>
      <c r="J548" s="509">
        <f t="shared" si="50"/>
        <v>0</v>
      </c>
      <c r="K548" s="509"/>
      <c r="L548" s="513"/>
      <c r="M548" s="509">
        <f t="shared" si="51"/>
        <v>0</v>
      </c>
      <c r="N548" s="513"/>
      <c r="O548" s="509">
        <f t="shared" si="52"/>
        <v>0</v>
      </c>
      <c r="P548" s="509">
        <f t="shared" si="53"/>
        <v>0</v>
      </c>
      <c r="Q548" s="471"/>
    </row>
    <row r="549" spans="3:17">
      <c r="C549" s="505">
        <f>IF(D527="","-",+C548+1)</f>
        <v>2032</v>
      </c>
      <c r="D549" s="469">
        <f t="shared" si="54"/>
        <v>3474923.6296428544</v>
      </c>
      <c r="E549" s="511">
        <f t="shared" si="55"/>
        <v>131129.19357142856</v>
      </c>
      <c r="F549" s="511">
        <f t="shared" si="48"/>
        <v>3343794.4360714257</v>
      </c>
      <c r="G549" s="469">
        <f t="shared" si="49"/>
        <v>3409359.0328571401</v>
      </c>
      <c r="H549" s="506">
        <f>+J528*G549+E549</f>
        <v>642418.04109418497</v>
      </c>
      <c r="I549" s="512">
        <f>+J529*G549+E549</f>
        <v>642418.04109418497</v>
      </c>
      <c r="J549" s="509">
        <f t="shared" si="50"/>
        <v>0</v>
      </c>
      <c r="K549" s="509"/>
      <c r="L549" s="513"/>
      <c r="M549" s="509">
        <f t="shared" si="51"/>
        <v>0</v>
      </c>
      <c r="N549" s="513"/>
      <c r="O549" s="509">
        <f t="shared" si="52"/>
        <v>0</v>
      </c>
      <c r="P549" s="509">
        <f t="shared" si="53"/>
        <v>0</v>
      </c>
      <c r="Q549" s="471"/>
    </row>
    <row r="550" spans="3:17">
      <c r="C550" s="505">
        <f>IF(D527="","-",+C549+1)</f>
        <v>2033</v>
      </c>
      <c r="D550" s="469">
        <f t="shared" si="54"/>
        <v>3343794.4360714257</v>
      </c>
      <c r="E550" s="511">
        <f t="shared" si="55"/>
        <v>131129.19357142856</v>
      </c>
      <c r="F550" s="511">
        <f t="shared" si="48"/>
        <v>3212665.2424999969</v>
      </c>
      <c r="G550" s="469">
        <f t="shared" si="49"/>
        <v>3278229.8392857113</v>
      </c>
      <c r="H550" s="506">
        <f>+J528*G550+E550</f>
        <v>622753.08542023285</v>
      </c>
      <c r="I550" s="512">
        <f>+J529*G550+E550</f>
        <v>622753.08542023285</v>
      </c>
      <c r="J550" s="509">
        <f t="shared" si="50"/>
        <v>0</v>
      </c>
      <c r="K550" s="509"/>
      <c r="L550" s="513"/>
      <c r="M550" s="509">
        <f t="shared" si="51"/>
        <v>0</v>
      </c>
      <c r="N550" s="513"/>
      <c r="O550" s="509">
        <f t="shared" si="52"/>
        <v>0</v>
      </c>
      <c r="P550" s="509">
        <f t="shared" si="53"/>
        <v>0</v>
      </c>
      <c r="Q550" s="471"/>
    </row>
    <row r="551" spans="3:17">
      <c r="C551" s="505">
        <f>IF(D527="","-",+C550+1)</f>
        <v>2034</v>
      </c>
      <c r="D551" s="469">
        <f t="shared" si="54"/>
        <v>3212665.2424999969</v>
      </c>
      <c r="E551" s="511">
        <f t="shared" si="55"/>
        <v>131129.19357142856</v>
      </c>
      <c r="F551" s="511">
        <f t="shared" si="48"/>
        <v>3081536.0489285681</v>
      </c>
      <c r="G551" s="469">
        <f t="shared" si="49"/>
        <v>3147100.6457142825</v>
      </c>
      <c r="H551" s="506">
        <f>+J528*G551+E551</f>
        <v>603088.12974628061</v>
      </c>
      <c r="I551" s="512">
        <f>+J529*G551+E551</f>
        <v>603088.12974628061</v>
      </c>
      <c r="J551" s="509">
        <f t="shared" si="50"/>
        <v>0</v>
      </c>
      <c r="K551" s="509"/>
      <c r="L551" s="513"/>
      <c r="M551" s="509">
        <f t="shared" si="51"/>
        <v>0</v>
      </c>
      <c r="N551" s="513"/>
      <c r="O551" s="509">
        <f t="shared" si="52"/>
        <v>0</v>
      </c>
      <c r="P551" s="509">
        <f t="shared" si="53"/>
        <v>0</v>
      </c>
      <c r="Q551" s="471"/>
    </row>
    <row r="552" spans="3:17">
      <c r="C552" s="505">
        <f>IF(D527="","-",+C551+1)</f>
        <v>2035</v>
      </c>
      <c r="D552" s="469">
        <f t="shared" si="54"/>
        <v>3081536.0489285681</v>
      </c>
      <c r="E552" s="511">
        <f t="shared" si="55"/>
        <v>131129.19357142856</v>
      </c>
      <c r="F552" s="511">
        <f t="shared" si="48"/>
        <v>2950406.8553571394</v>
      </c>
      <c r="G552" s="469">
        <f t="shared" si="49"/>
        <v>3015971.4521428538</v>
      </c>
      <c r="H552" s="506">
        <f>+J528*G552+E552</f>
        <v>583423.17407232837</v>
      </c>
      <c r="I552" s="512">
        <f>+J529*G552+E552</f>
        <v>583423.17407232837</v>
      </c>
      <c r="J552" s="509">
        <f t="shared" si="50"/>
        <v>0</v>
      </c>
      <c r="K552" s="509"/>
      <c r="L552" s="513"/>
      <c r="M552" s="509">
        <f t="shared" si="51"/>
        <v>0</v>
      </c>
      <c r="N552" s="513"/>
      <c r="O552" s="509">
        <f t="shared" si="52"/>
        <v>0</v>
      </c>
      <c r="P552" s="509">
        <f t="shared" si="53"/>
        <v>0</v>
      </c>
      <c r="Q552" s="471"/>
    </row>
    <row r="553" spans="3:17">
      <c r="C553" s="505">
        <f>IF(D527="","-",+C552+1)</f>
        <v>2036</v>
      </c>
      <c r="D553" s="469">
        <f t="shared" si="54"/>
        <v>2950406.8553571394</v>
      </c>
      <c r="E553" s="511">
        <f t="shared" si="55"/>
        <v>131129.19357142856</v>
      </c>
      <c r="F553" s="511">
        <f t="shared" si="48"/>
        <v>2819277.6617857106</v>
      </c>
      <c r="G553" s="469">
        <f t="shared" si="49"/>
        <v>2884842.258571425</v>
      </c>
      <c r="H553" s="506">
        <f>+J528*G553+E553</f>
        <v>563758.21839837614</v>
      </c>
      <c r="I553" s="512">
        <f>+J529*G553+E553</f>
        <v>563758.21839837614</v>
      </c>
      <c r="J553" s="509">
        <f t="shared" si="50"/>
        <v>0</v>
      </c>
      <c r="K553" s="509"/>
      <c r="L553" s="513"/>
      <c r="M553" s="509">
        <f t="shared" si="51"/>
        <v>0</v>
      </c>
      <c r="N553" s="513"/>
      <c r="O553" s="509">
        <f t="shared" si="52"/>
        <v>0</v>
      </c>
      <c r="P553" s="509">
        <f t="shared" si="53"/>
        <v>0</v>
      </c>
      <c r="Q553" s="471"/>
    </row>
    <row r="554" spans="3:17">
      <c r="C554" s="505">
        <f>IF(D527="","-",+C553+1)</f>
        <v>2037</v>
      </c>
      <c r="D554" s="469">
        <f t="shared" si="54"/>
        <v>2819277.6617857106</v>
      </c>
      <c r="E554" s="511">
        <f t="shared" si="55"/>
        <v>131129.19357142856</v>
      </c>
      <c r="F554" s="511">
        <f t="shared" si="48"/>
        <v>2688148.4682142818</v>
      </c>
      <c r="G554" s="469">
        <f t="shared" si="49"/>
        <v>2753713.0649999962</v>
      </c>
      <c r="H554" s="506">
        <f>+J528*G554+E554</f>
        <v>544093.2627244239</v>
      </c>
      <c r="I554" s="512">
        <f>+J529*G554+E554</f>
        <v>544093.2627244239</v>
      </c>
      <c r="J554" s="509">
        <f t="shared" si="50"/>
        <v>0</v>
      </c>
      <c r="K554" s="509"/>
      <c r="L554" s="513"/>
      <c r="M554" s="509">
        <f t="shared" si="51"/>
        <v>0</v>
      </c>
      <c r="N554" s="513"/>
      <c r="O554" s="509">
        <f t="shared" si="52"/>
        <v>0</v>
      </c>
      <c r="P554" s="509">
        <f t="shared" si="53"/>
        <v>0</v>
      </c>
      <c r="Q554" s="471"/>
    </row>
    <row r="555" spans="3:17">
      <c r="C555" s="505">
        <f>IF(D527="","-",+C554+1)</f>
        <v>2038</v>
      </c>
      <c r="D555" s="469">
        <f t="shared" si="54"/>
        <v>2688148.4682142818</v>
      </c>
      <c r="E555" s="511">
        <f t="shared" si="55"/>
        <v>131129.19357142856</v>
      </c>
      <c r="F555" s="511">
        <f t="shared" si="48"/>
        <v>2557019.2746428531</v>
      </c>
      <c r="G555" s="469">
        <f t="shared" si="49"/>
        <v>2622583.8714285675</v>
      </c>
      <c r="H555" s="506">
        <f>+J528*G555+E555</f>
        <v>524428.30705047166</v>
      </c>
      <c r="I555" s="512">
        <f>+J529*G555+E555</f>
        <v>524428.30705047166</v>
      </c>
      <c r="J555" s="509">
        <f t="shared" si="50"/>
        <v>0</v>
      </c>
      <c r="K555" s="509"/>
      <c r="L555" s="513"/>
      <c r="M555" s="509">
        <f t="shared" si="51"/>
        <v>0</v>
      </c>
      <c r="N555" s="513"/>
      <c r="O555" s="509">
        <f t="shared" si="52"/>
        <v>0</v>
      </c>
      <c r="P555" s="509">
        <f t="shared" si="53"/>
        <v>0</v>
      </c>
      <c r="Q555" s="471"/>
    </row>
    <row r="556" spans="3:17">
      <c r="C556" s="505">
        <f>IF(D527="","-",+C555+1)</f>
        <v>2039</v>
      </c>
      <c r="D556" s="469">
        <f t="shared" si="54"/>
        <v>2557019.2746428531</v>
      </c>
      <c r="E556" s="511">
        <f t="shared" si="55"/>
        <v>131129.19357142856</v>
      </c>
      <c r="F556" s="511">
        <f t="shared" si="48"/>
        <v>2425890.0810714243</v>
      </c>
      <c r="G556" s="469">
        <f t="shared" si="49"/>
        <v>2491454.6778571387</v>
      </c>
      <c r="H556" s="506">
        <f>+J528*G556+E556</f>
        <v>504763.35137651954</v>
      </c>
      <c r="I556" s="512">
        <f>+J529*G556+E556</f>
        <v>504763.35137651954</v>
      </c>
      <c r="J556" s="509">
        <f t="shared" si="50"/>
        <v>0</v>
      </c>
      <c r="K556" s="509"/>
      <c r="L556" s="513"/>
      <c r="M556" s="509">
        <f t="shared" si="51"/>
        <v>0</v>
      </c>
      <c r="N556" s="513"/>
      <c r="O556" s="509">
        <f t="shared" si="52"/>
        <v>0</v>
      </c>
      <c r="P556" s="509">
        <f t="shared" si="53"/>
        <v>0</v>
      </c>
      <c r="Q556" s="471"/>
    </row>
    <row r="557" spans="3:17">
      <c r="C557" s="505">
        <f>IF(D527="","-",+C556+1)</f>
        <v>2040</v>
      </c>
      <c r="D557" s="469">
        <f t="shared" si="54"/>
        <v>2425890.0810714243</v>
      </c>
      <c r="E557" s="511">
        <f t="shared" si="55"/>
        <v>131129.19357142856</v>
      </c>
      <c r="F557" s="511">
        <f t="shared" si="48"/>
        <v>2294760.8874999955</v>
      </c>
      <c r="G557" s="469">
        <f t="shared" si="49"/>
        <v>2360325.4842857099</v>
      </c>
      <c r="H557" s="506">
        <f>+J528*G557+E557</f>
        <v>485098.3957025673</v>
      </c>
      <c r="I557" s="512">
        <f>+J529*G557+E557</f>
        <v>485098.3957025673</v>
      </c>
      <c r="J557" s="509">
        <f t="shared" si="50"/>
        <v>0</v>
      </c>
      <c r="K557" s="509"/>
      <c r="L557" s="513"/>
      <c r="M557" s="509">
        <f t="shared" si="51"/>
        <v>0</v>
      </c>
      <c r="N557" s="513"/>
      <c r="O557" s="509">
        <f t="shared" si="52"/>
        <v>0</v>
      </c>
      <c r="P557" s="509">
        <f t="shared" si="53"/>
        <v>0</v>
      </c>
      <c r="Q557" s="471"/>
    </row>
    <row r="558" spans="3:17">
      <c r="C558" s="505">
        <f>IF(D527="","-",+C557+1)</f>
        <v>2041</v>
      </c>
      <c r="D558" s="469">
        <f t="shared" si="54"/>
        <v>2294760.8874999955</v>
      </c>
      <c r="E558" s="511">
        <f t="shared" si="55"/>
        <v>131129.19357142856</v>
      </c>
      <c r="F558" s="511">
        <f t="shared" si="48"/>
        <v>2163631.6939285668</v>
      </c>
      <c r="G558" s="469">
        <f t="shared" si="49"/>
        <v>2229196.2907142811</v>
      </c>
      <c r="H558" s="506">
        <f>+J528*G558+E558</f>
        <v>465433.44002861506</v>
      </c>
      <c r="I558" s="512">
        <f>+J529*G558+E558</f>
        <v>465433.44002861506</v>
      </c>
      <c r="J558" s="509">
        <f t="shared" si="50"/>
        <v>0</v>
      </c>
      <c r="K558" s="509"/>
      <c r="L558" s="513"/>
      <c r="M558" s="509">
        <f t="shared" si="51"/>
        <v>0</v>
      </c>
      <c r="N558" s="513"/>
      <c r="O558" s="509">
        <f t="shared" si="52"/>
        <v>0</v>
      </c>
      <c r="P558" s="509">
        <f t="shared" si="53"/>
        <v>0</v>
      </c>
      <c r="Q558" s="471"/>
    </row>
    <row r="559" spans="3:17">
      <c r="C559" s="505">
        <f>IF(D527="","-",+C558+1)</f>
        <v>2042</v>
      </c>
      <c r="D559" s="469">
        <f t="shared" si="54"/>
        <v>2163631.6939285668</v>
      </c>
      <c r="E559" s="511">
        <f t="shared" si="55"/>
        <v>131129.19357142856</v>
      </c>
      <c r="F559" s="511">
        <f t="shared" si="48"/>
        <v>2032502.5003571382</v>
      </c>
      <c r="G559" s="469">
        <f t="shared" si="49"/>
        <v>2098067.0971428524</v>
      </c>
      <c r="H559" s="506">
        <f>+J528*G559+E559</f>
        <v>445768.48435466283</v>
      </c>
      <c r="I559" s="512">
        <f>+J529*G559+E559</f>
        <v>445768.48435466283</v>
      </c>
      <c r="J559" s="509">
        <f t="shared" si="50"/>
        <v>0</v>
      </c>
      <c r="K559" s="509"/>
      <c r="L559" s="513"/>
      <c r="M559" s="509">
        <f t="shared" si="51"/>
        <v>0</v>
      </c>
      <c r="N559" s="513"/>
      <c r="O559" s="509">
        <f t="shared" si="52"/>
        <v>0</v>
      </c>
      <c r="P559" s="509">
        <f t="shared" si="53"/>
        <v>0</v>
      </c>
      <c r="Q559" s="471"/>
    </row>
    <row r="560" spans="3:17">
      <c r="C560" s="505">
        <f>IF(D527="","-",+C559+1)</f>
        <v>2043</v>
      </c>
      <c r="D560" s="469">
        <f t="shared" si="54"/>
        <v>2032502.5003571382</v>
      </c>
      <c r="E560" s="511">
        <f t="shared" si="55"/>
        <v>131129.19357142856</v>
      </c>
      <c r="F560" s="511">
        <f t="shared" si="48"/>
        <v>1901373.3067857097</v>
      </c>
      <c r="G560" s="469">
        <f t="shared" si="49"/>
        <v>1966937.9035714241</v>
      </c>
      <c r="H560" s="506">
        <f>+J528*G560+E560</f>
        <v>426103.5286807107</v>
      </c>
      <c r="I560" s="512">
        <f>+J529*G560+E560</f>
        <v>426103.5286807107</v>
      </c>
      <c r="J560" s="509">
        <f t="shared" si="50"/>
        <v>0</v>
      </c>
      <c r="K560" s="509"/>
      <c r="L560" s="513"/>
      <c r="M560" s="509">
        <f t="shared" si="51"/>
        <v>0</v>
      </c>
      <c r="N560" s="513"/>
      <c r="O560" s="509">
        <f t="shared" si="52"/>
        <v>0</v>
      </c>
      <c r="P560" s="509">
        <f t="shared" si="53"/>
        <v>0</v>
      </c>
      <c r="Q560" s="471"/>
    </row>
    <row r="561" spans="3:17">
      <c r="C561" s="505">
        <f>IF(D527="","-",+C560+1)</f>
        <v>2044</v>
      </c>
      <c r="D561" s="469">
        <f t="shared" si="54"/>
        <v>1901373.3067857097</v>
      </c>
      <c r="E561" s="511">
        <f t="shared" si="55"/>
        <v>131129.19357142856</v>
      </c>
      <c r="F561" s="511">
        <f t="shared" si="48"/>
        <v>1770244.1132142812</v>
      </c>
      <c r="G561" s="469">
        <f t="shared" si="49"/>
        <v>1835808.7099999953</v>
      </c>
      <c r="H561" s="506">
        <f>+J528*G561+E561</f>
        <v>406438.57300675847</v>
      </c>
      <c r="I561" s="512">
        <f>+J529*G561+E561</f>
        <v>406438.57300675847</v>
      </c>
      <c r="J561" s="509">
        <f t="shared" si="50"/>
        <v>0</v>
      </c>
      <c r="K561" s="509"/>
      <c r="L561" s="513"/>
      <c r="M561" s="509">
        <f t="shared" si="51"/>
        <v>0</v>
      </c>
      <c r="N561" s="513"/>
      <c r="O561" s="509">
        <f t="shared" si="52"/>
        <v>0</v>
      </c>
      <c r="P561" s="509">
        <f t="shared" si="53"/>
        <v>0</v>
      </c>
      <c r="Q561" s="471"/>
    </row>
    <row r="562" spans="3:17">
      <c r="C562" s="505">
        <f>IF(D527="","-",+C561+1)</f>
        <v>2045</v>
      </c>
      <c r="D562" s="469">
        <f t="shared" si="54"/>
        <v>1770244.1132142812</v>
      </c>
      <c r="E562" s="511">
        <f t="shared" si="55"/>
        <v>131129.19357142856</v>
      </c>
      <c r="F562" s="511">
        <f t="shared" si="48"/>
        <v>1639114.9196428526</v>
      </c>
      <c r="G562" s="469">
        <f t="shared" si="49"/>
        <v>1704679.516428567</v>
      </c>
      <c r="H562" s="506">
        <f>+J528*G562+E562</f>
        <v>386773.61733280635</v>
      </c>
      <c r="I562" s="512">
        <f>+J529*G562+E562</f>
        <v>386773.61733280635</v>
      </c>
      <c r="J562" s="509">
        <f t="shared" si="50"/>
        <v>0</v>
      </c>
      <c r="K562" s="509"/>
      <c r="L562" s="513"/>
      <c r="M562" s="509">
        <f t="shared" si="51"/>
        <v>0</v>
      </c>
      <c r="N562" s="513"/>
      <c r="O562" s="509">
        <f t="shared" si="52"/>
        <v>0</v>
      </c>
      <c r="P562" s="509">
        <f t="shared" si="53"/>
        <v>0</v>
      </c>
      <c r="Q562" s="471"/>
    </row>
    <row r="563" spans="3:17">
      <c r="C563" s="505">
        <f>IF(D527="","-",+C562+1)</f>
        <v>2046</v>
      </c>
      <c r="D563" s="469">
        <f t="shared" si="54"/>
        <v>1639114.9196428526</v>
      </c>
      <c r="E563" s="511">
        <f t="shared" si="55"/>
        <v>131129.19357142856</v>
      </c>
      <c r="F563" s="511">
        <f t="shared" si="48"/>
        <v>1507985.7260714241</v>
      </c>
      <c r="G563" s="469">
        <f t="shared" si="49"/>
        <v>1573550.3228571382</v>
      </c>
      <c r="H563" s="506">
        <f>+J528*G563+E563</f>
        <v>367108.66165885411</v>
      </c>
      <c r="I563" s="512">
        <f>+J529*G563+E563</f>
        <v>367108.66165885411</v>
      </c>
      <c r="J563" s="509">
        <f t="shared" si="50"/>
        <v>0</v>
      </c>
      <c r="K563" s="509"/>
      <c r="L563" s="513"/>
      <c r="M563" s="509">
        <f t="shared" si="51"/>
        <v>0</v>
      </c>
      <c r="N563" s="513"/>
      <c r="O563" s="509">
        <f t="shared" si="52"/>
        <v>0</v>
      </c>
      <c r="P563" s="509">
        <f t="shared" si="53"/>
        <v>0</v>
      </c>
      <c r="Q563" s="471"/>
    </row>
    <row r="564" spans="3:17">
      <c r="C564" s="505">
        <f>IF(D527="","-",+C563+1)</f>
        <v>2047</v>
      </c>
      <c r="D564" s="469">
        <f t="shared" si="54"/>
        <v>1507985.7260714241</v>
      </c>
      <c r="E564" s="511">
        <f t="shared" si="55"/>
        <v>131129.19357142856</v>
      </c>
      <c r="F564" s="511">
        <f t="shared" si="48"/>
        <v>1376856.5324999955</v>
      </c>
      <c r="G564" s="469">
        <f t="shared" si="49"/>
        <v>1442421.1292857099</v>
      </c>
      <c r="H564" s="506">
        <f>+J528*G564+E564</f>
        <v>347443.70598490199</v>
      </c>
      <c r="I564" s="512">
        <f>+J529*G564+E564</f>
        <v>347443.70598490199</v>
      </c>
      <c r="J564" s="509">
        <f t="shared" si="50"/>
        <v>0</v>
      </c>
      <c r="K564" s="509"/>
      <c r="L564" s="513"/>
      <c r="M564" s="509">
        <f t="shared" si="51"/>
        <v>0</v>
      </c>
      <c r="N564" s="513"/>
      <c r="O564" s="509">
        <f t="shared" si="52"/>
        <v>0</v>
      </c>
      <c r="P564" s="509">
        <f t="shared" si="53"/>
        <v>0</v>
      </c>
      <c r="Q564" s="471"/>
    </row>
    <row r="565" spans="3:17">
      <c r="C565" s="505">
        <f>IF(D527="","-",+C564+1)</f>
        <v>2048</v>
      </c>
      <c r="D565" s="469">
        <f t="shared" si="54"/>
        <v>1376856.5324999955</v>
      </c>
      <c r="E565" s="511">
        <f t="shared" si="55"/>
        <v>131129.19357142856</v>
      </c>
      <c r="F565" s="511">
        <f t="shared" si="48"/>
        <v>1245727.338928567</v>
      </c>
      <c r="G565" s="469">
        <f t="shared" si="49"/>
        <v>1311291.9357142812</v>
      </c>
      <c r="H565" s="506">
        <f>+J528*G565+E565</f>
        <v>327778.75031094975</v>
      </c>
      <c r="I565" s="512">
        <f>+J529*G565+E565</f>
        <v>327778.75031094975</v>
      </c>
      <c r="J565" s="509">
        <f t="shared" si="50"/>
        <v>0</v>
      </c>
      <c r="K565" s="509"/>
      <c r="L565" s="513"/>
      <c r="M565" s="509">
        <f t="shared" si="51"/>
        <v>0</v>
      </c>
      <c r="N565" s="513"/>
      <c r="O565" s="509">
        <f t="shared" si="52"/>
        <v>0</v>
      </c>
      <c r="P565" s="509">
        <f t="shared" si="53"/>
        <v>0</v>
      </c>
      <c r="Q565" s="471"/>
    </row>
    <row r="566" spans="3:17">
      <c r="C566" s="505">
        <f>IF(D527="","-",+C565+1)</f>
        <v>2049</v>
      </c>
      <c r="D566" s="469">
        <f t="shared" si="54"/>
        <v>1245727.338928567</v>
      </c>
      <c r="E566" s="511">
        <f t="shared" si="55"/>
        <v>131129.19357142856</v>
      </c>
      <c r="F566" s="511">
        <f t="shared" si="48"/>
        <v>1114598.1453571385</v>
      </c>
      <c r="G566" s="469">
        <f t="shared" si="49"/>
        <v>1180162.7421428529</v>
      </c>
      <c r="H566" s="506">
        <f>+J528*G566+E566</f>
        <v>308113.79463699763</v>
      </c>
      <c r="I566" s="512">
        <f>+J529*G566+E566</f>
        <v>308113.79463699763</v>
      </c>
      <c r="J566" s="509">
        <f t="shared" si="50"/>
        <v>0</v>
      </c>
      <c r="K566" s="509"/>
      <c r="L566" s="513"/>
      <c r="M566" s="509">
        <f t="shared" si="51"/>
        <v>0</v>
      </c>
      <c r="N566" s="513"/>
      <c r="O566" s="509">
        <f t="shared" si="52"/>
        <v>0</v>
      </c>
      <c r="P566" s="509">
        <f t="shared" si="53"/>
        <v>0</v>
      </c>
      <c r="Q566" s="471"/>
    </row>
    <row r="567" spans="3:17">
      <c r="C567" s="505">
        <f>IF(D527="","-",+C566+1)</f>
        <v>2050</v>
      </c>
      <c r="D567" s="469">
        <f t="shared" si="54"/>
        <v>1114598.1453571385</v>
      </c>
      <c r="E567" s="511">
        <f t="shared" si="55"/>
        <v>131129.19357142856</v>
      </c>
      <c r="F567" s="511">
        <f t="shared" si="48"/>
        <v>983468.95178570994</v>
      </c>
      <c r="G567" s="469">
        <f t="shared" si="49"/>
        <v>1049033.5485714241</v>
      </c>
      <c r="H567" s="506">
        <f>+J528*G567+E567</f>
        <v>288448.83896304539</v>
      </c>
      <c r="I567" s="512">
        <f>+J529*G567+E567</f>
        <v>288448.83896304539</v>
      </c>
      <c r="J567" s="509">
        <f t="shared" si="50"/>
        <v>0</v>
      </c>
      <c r="K567" s="509"/>
      <c r="L567" s="513"/>
      <c r="M567" s="509">
        <f t="shared" si="51"/>
        <v>0</v>
      </c>
      <c r="N567" s="513"/>
      <c r="O567" s="509">
        <f t="shared" si="52"/>
        <v>0</v>
      </c>
      <c r="P567" s="509">
        <f t="shared" si="53"/>
        <v>0</v>
      </c>
      <c r="Q567" s="471"/>
    </row>
    <row r="568" spans="3:17">
      <c r="C568" s="505">
        <f>IF(D527="","-",+C567+1)</f>
        <v>2051</v>
      </c>
      <c r="D568" s="469">
        <f t="shared" si="54"/>
        <v>983468.95178570994</v>
      </c>
      <c r="E568" s="511">
        <f t="shared" si="55"/>
        <v>131129.19357142856</v>
      </c>
      <c r="F568" s="511">
        <f t="shared" si="48"/>
        <v>852339.75821428141</v>
      </c>
      <c r="G568" s="469">
        <f t="shared" si="49"/>
        <v>917904.35499999567</v>
      </c>
      <c r="H568" s="506">
        <f>+J528*G568+E568</f>
        <v>268783.88328909327</v>
      </c>
      <c r="I568" s="512">
        <f>+J529*G568+E568</f>
        <v>268783.88328909327</v>
      </c>
      <c r="J568" s="509">
        <f t="shared" si="50"/>
        <v>0</v>
      </c>
      <c r="K568" s="509"/>
      <c r="L568" s="513"/>
      <c r="M568" s="509">
        <f t="shared" si="51"/>
        <v>0</v>
      </c>
      <c r="N568" s="513"/>
      <c r="O568" s="509">
        <f t="shared" si="52"/>
        <v>0</v>
      </c>
      <c r="P568" s="509">
        <f t="shared" si="53"/>
        <v>0</v>
      </c>
      <c r="Q568" s="471"/>
    </row>
    <row r="569" spans="3:17">
      <c r="C569" s="505">
        <f>IF(D527="","-",+C568+1)</f>
        <v>2052</v>
      </c>
      <c r="D569" s="469">
        <f t="shared" si="54"/>
        <v>852339.75821428141</v>
      </c>
      <c r="E569" s="511">
        <f t="shared" si="55"/>
        <v>131129.19357142856</v>
      </c>
      <c r="F569" s="511">
        <f t="shared" si="48"/>
        <v>721210.56464285287</v>
      </c>
      <c r="G569" s="469">
        <f t="shared" si="49"/>
        <v>786775.16142856714</v>
      </c>
      <c r="H569" s="506">
        <f>+J528*G569+E569</f>
        <v>249118.92761514103</v>
      </c>
      <c r="I569" s="512">
        <f>+J529*G569+E569</f>
        <v>249118.92761514103</v>
      </c>
      <c r="J569" s="509">
        <f t="shared" si="50"/>
        <v>0</v>
      </c>
      <c r="K569" s="509"/>
      <c r="L569" s="513"/>
      <c r="M569" s="509">
        <f t="shared" si="51"/>
        <v>0</v>
      </c>
      <c r="N569" s="513"/>
      <c r="O569" s="509">
        <f t="shared" si="52"/>
        <v>0</v>
      </c>
      <c r="P569" s="509">
        <f t="shared" si="53"/>
        <v>0</v>
      </c>
      <c r="Q569" s="471"/>
    </row>
    <row r="570" spans="3:17">
      <c r="C570" s="505">
        <f>IF(D527="","-",+C569+1)</f>
        <v>2053</v>
      </c>
      <c r="D570" s="469">
        <f t="shared" si="54"/>
        <v>721210.56464285287</v>
      </c>
      <c r="E570" s="511">
        <f t="shared" si="55"/>
        <v>131129.19357142856</v>
      </c>
      <c r="F570" s="511">
        <f t="shared" si="48"/>
        <v>590081.37107142434</v>
      </c>
      <c r="G570" s="469">
        <f t="shared" si="49"/>
        <v>655645.9678571386</v>
      </c>
      <c r="H570" s="506">
        <f>+J528*G570+E570</f>
        <v>229453.97194118885</v>
      </c>
      <c r="I570" s="512">
        <f>+J529*G570+E570</f>
        <v>229453.97194118885</v>
      </c>
      <c r="J570" s="509">
        <f t="shared" si="50"/>
        <v>0</v>
      </c>
      <c r="K570" s="509"/>
      <c r="L570" s="513"/>
      <c r="M570" s="509">
        <f t="shared" si="51"/>
        <v>0</v>
      </c>
      <c r="N570" s="513"/>
      <c r="O570" s="509">
        <f t="shared" si="52"/>
        <v>0</v>
      </c>
      <c r="P570" s="509">
        <f t="shared" si="53"/>
        <v>0</v>
      </c>
      <c r="Q570" s="471"/>
    </row>
    <row r="571" spans="3:17">
      <c r="C571" s="505">
        <f>IF(D527="","-",+C570+1)</f>
        <v>2054</v>
      </c>
      <c r="D571" s="469">
        <f t="shared" si="54"/>
        <v>590081.37107142434</v>
      </c>
      <c r="E571" s="511">
        <f t="shared" si="55"/>
        <v>131129.19357142856</v>
      </c>
      <c r="F571" s="511">
        <f t="shared" si="48"/>
        <v>458952.1774999958</v>
      </c>
      <c r="G571" s="469">
        <f t="shared" si="49"/>
        <v>524516.77428571007</v>
      </c>
      <c r="H571" s="506">
        <f>+J528*G571+E571</f>
        <v>209789.01626723667</v>
      </c>
      <c r="I571" s="512">
        <f>+J529*G571+E571</f>
        <v>209789.01626723667</v>
      </c>
      <c r="J571" s="509">
        <f t="shared" si="50"/>
        <v>0</v>
      </c>
      <c r="K571" s="509"/>
      <c r="L571" s="513"/>
      <c r="M571" s="509">
        <f t="shared" si="51"/>
        <v>0</v>
      </c>
      <c r="N571" s="513"/>
      <c r="O571" s="509">
        <f t="shared" si="52"/>
        <v>0</v>
      </c>
      <c r="P571" s="509">
        <f t="shared" si="53"/>
        <v>0</v>
      </c>
      <c r="Q571" s="471"/>
    </row>
    <row r="572" spans="3:17">
      <c r="C572" s="505">
        <f>IF(D527="","-",+C571+1)</f>
        <v>2055</v>
      </c>
      <c r="D572" s="469">
        <f t="shared" si="54"/>
        <v>458952.1774999958</v>
      </c>
      <c r="E572" s="511">
        <f t="shared" si="55"/>
        <v>131129.19357142856</v>
      </c>
      <c r="F572" s="511">
        <f t="shared" si="48"/>
        <v>327822.98392856726</v>
      </c>
      <c r="G572" s="469">
        <f t="shared" si="49"/>
        <v>393387.58071428153</v>
      </c>
      <c r="H572" s="506">
        <f>+J528*G572+E572</f>
        <v>190124.06059328449</v>
      </c>
      <c r="I572" s="512">
        <f>+J529*G572+E572</f>
        <v>190124.06059328449</v>
      </c>
      <c r="J572" s="509">
        <f t="shared" si="50"/>
        <v>0</v>
      </c>
      <c r="K572" s="509"/>
      <c r="L572" s="513"/>
      <c r="M572" s="509">
        <f t="shared" si="51"/>
        <v>0</v>
      </c>
      <c r="N572" s="513"/>
      <c r="O572" s="509">
        <f t="shared" si="52"/>
        <v>0</v>
      </c>
      <c r="P572" s="509">
        <f t="shared" si="53"/>
        <v>0</v>
      </c>
      <c r="Q572" s="471"/>
    </row>
    <row r="573" spans="3:17">
      <c r="C573" s="505">
        <f>IF(D527="","-",+C572+1)</f>
        <v>2056</v>
      </c>
      <c r="D573" s="469">
        <f t="shared" si="54"/>
        <v>327822.98392856726</v>
      </c>
      <c r="E573" s="511">
        <f t="shared" si="55"/>
        <v>131129.19357142856</v>
      </c>
      <c r="F573" s="511">
        <f t="shared" si="48"/>
        <v>196693.7903571387</v>
      </c>
      <c r="G573" s="469">
        <f t="shared" si="49"/>
        <v>262258.387142853</v>
      </c>
      <c r="H573" s="506">
        <f>+J528*G573+E573</f>
        <v>170459.10491933231</v>
      </c>
      <c r="I573" s="512">
        <f>+J529*G573+E573</f>
        <v>170459.10491933231</v>
      </c>
      <c r="J573" s="509">
        <f t="shared" si="50"/>
        <v>0</v>
      </c>
      <c r="K573" s="509"/>
      <c r="L573" s="513"/>
      <c r="M573" s="509">
        <f t="shared" si="51"/>
        <v>0</v>
      </c>
      <c r="N573" s="513"/>
      <c r="O573" s="509">
        <f t="shared" si="52"/>
        <v>0</v>
      </c>
      <c r="P573" s="509">
        <f t="shared" si="53"/>
        <v>0</v>
      </c>
      <c r="Q573" s="471"/>
    </row>
    <row r="574" spans="3:17">
      <c r="C574" s="505">
        <f>IF(D527="","-",+C573+1)</f>
        <v>2057</v>
      </c>
      <c r="D574" s="469">
        <f t="shared" si="54"/>
        <v>196693.7903571387</v>
      </c>
      <c r="E574" s="511">
        <f t="shared" si="55"/>
        <v>131129.19357142856</v>
      </c>
      <c r="F574" s="511">
        <f t="shared" si="48"/>
        <v>65564.596785710135</v>
      </c>
      <c r="G574" s="469">
        <f t="shared" si="49"/>
        <v>131129.1935714244</v>
      </c>
      <c r="H574" s="506">
        <f>+J528*G574+E574</f>
        <v>150794.14924538013</v>
      </c>
      <c r="I574" s="512">
        <f>+J529*G574+E574</f>
        <v>150794.14924538013</v>
      </c>
      <c r="J574" s="509">
        <f t="shared" si="50"/>
        <v>0</v>
      </c>
      <c r="K574" s="509"/>
      <c r="L574" s="513"/>
      <c r="M574" s="509">
        <f t="shared" si="51"/>
        <v>0</v>
      </c>
      <c r="N574" s="513"/>
      <c r="O574" s="509">
        <f t="shared" si="52"/>
        <v>0</v>
      </c>
      <c r="P574" s="509">
        <f t="shared" si="53"/>
        <v>0</v>
      </c>
      <c r="Q574" s="471"/>
    </row>
    <row r="575" spans="3:17">
      <c r="C575" s="505">
        <f>IF(D527="","-",+C574+1)</f>
        <v>2058</v>
      </c>
      <c r="D575" s="469">
        <f t="shared" si="54"/>
        <v>65564.596785710135</v>
      </c>
      <c r="E575" s="511">
        <f t="shared" si="55"/>
        <v>131129.19357142856</v>
      </c>
      <c r="F575" s="511">
        <f t="shared" si="48"/>
        <v>-65564.59678571843</v>
      </c>
      <c r="G575" s="469">
        <f t="shared" si="49"/>
        <v>-4.1472958400845528E-9</v>
      </c>
      <c r="H575" s="506">
        <f>+J528*G575+E575</f>
        <v>131129.19357142795</v>
      </c>
      <c r="I575" s="512">
        <f>+J529*G575+E575</f>
        <v>131129.19357142795</v>
      </c>
      <c r="J575" s="509">
        <f t="shared" si="50"/>
        <v>0</v>
      </c>
      <c r="K575" s="509"/>
      <c r="L575" s="513"/>
      <c r="M575" s="509">
        <f t="shared" si="51"/>
        <v>0</v>
      </c>
      <c r="N575" s="513"/>
      <c r="O575" s="509">
        <f t="shared" si="52"/>
        <v>0</v>
      </c>
      <c r="P575" s="509">
        <f t="shared" si="53"/>
        <v>0</v>
      </c>
      <c r="Q575" s="471"/>
    </row>
    <row r="576" spans="3:17">
      <c r="C576" s="505">
        <f>IF(D527="","-",+C575+1)</f>
        <v>2059</v>
      </c>
      <c r="D576" s="469">
        <f t="shared" si="54"/>
        <v>-65564.59678571843</v>
      </c>
      <c r="E576" s="511">
        <f t="shared" si="55"/>
        <v>131129.19357142856</v>
      </c>
      <c r="F576" s="511">
        <f t="shared" si="48"/>
        <v>-196693.79035714699</v>
      </c>
      <c r="G576" s="469">
        <f t="shared" si="49"/>
        <v>-131129.19357143273</v>
      </c>
      <c r="H576" s="506">
        <f>+J528*G576+E576</f>
        <v>111464.23789747576</v>
      </c>
      <c r="I576" s="512">
        <f>+J529*G576+E576</f>
        <v>111464.23789747576</v>
      </c>
      <c r="J576" s="509">
        <f t="shared" si="50"/>
        <v>0</v>
      </c>
      <c r="K576" s="509"/>
      <c r="L576" s="513"/>
      <c r="M576" s="509">
        <f t="shared" si="51"/>
        <v>0</v>
      </c>
      <c r="N576" s="513"/>
      <c r="O576" s="509">
        <f t="shared" si="52"/>
        <v>0</v>
      </c>
      <c r="P576" s="509">
        <f t="shared" si="53"/>
        <v>0</v>
      </c>
      <c r="Q576" s="471"/>
    </row>
    <row r="577" spans="3:17">
      <c r="C577" s="505">
        <f>IF(D527="","-",+C576+1)</f>
        <v>2060</v>
      </c>
      <c r="D577" s="469">
        <f t="shared" si="54"/>
        <v>-196693.79035714699</v>
      </c>
      <c r="E577" s="511">
        <f t="shared" si="55"/>
        <v>131129.19357142856</v>
      </c>
      <c r="F577" s="511">
        <f t="shared" si="48"/>
        <v>-327822.98392857553</v>
      </c>
      <c r="G577" s="469">
        <f t="shared" si="49"/>
        <v>-262258.38714286126</v>
      </c>
      <c r="H577" s="506">
        <f>+J528*G577+E577</f>
        <v>91799.282223523565</v>
      </c>
      <c r="I577" s="512">
        <f>+J529*G577+E577</f>
        <v>91799.282223523565</v>
      </c>
      <c r="J577" s="509">
        <f t="shared" si="50"/>
        <v>0</v>
      </c>
      <c r="K577" s="509"/>
      <c r="L577" s="513"/>
      <c r="M577" s="509">
        <f t="shared" si="51"/>
        <v>0</v>
      </c>
      <c r="N577" s="513"/>
      <c r="O577" s="509">
        <f t="shared" si="52"/>
        <v>0</v>
      </c>
      <c r="P577" s="509">
        <f t="shared" si="53"/>
        <v>0</v>
      </c>
      <c r="Q577" s="471"/>
    </row>
    <row r="578" spans="3:17">
      <c r="C578" s="505">
        <f>IF(D527="","-",+C577+1)</f>
        <v>2061</v>
      </c>
      <c r="D578" s="469">
        <v>0</v>
      </c>
      <c r="E578" s="511">
        <v>0</v>
      </c>
      <c r="F578" s="511">
        <f t="shared" si="48"/>
        <v>0</v>
      </c>
      <c r="G578" s="469">
        <f t="shared" si="49"/>
        <v>0</v>
      </c>
      <c r="H578" s="506">
        <f>+J528*G578+E578</f>
        <v>0</v>
      </c>
      <c r="I578" s="512">
        <f>+J529*G578+E578</f>
        <v>0</v>
      </c>
      <c r="J578" s="509">
        <f t="shared" si="50"/>
        <v>0</v>
      </c>
      <c r="K578" s="509"/>
      <c r="L578" s="513"/>
      <c r="M578" s="509">
        <f t="shared" si="51"/>
        <v>0</v>
      </c>
      <c r="N578" s="513"/>
      <c r="O578" s="509">
        <f t="shared" si="52"/>
        <v>0</v>
      </c>
      <c r="P578" s="509">
        <f t="shared" si="53"/>
        <v>0</v>
      </c>
      <c r="Q578" s="471"/>
    </row>
    <row r="579" spans="3:17">
      <c r="C579" s="505">
        <f>IF(D527="","-",+C578+1)</f>
        <v>2062</v>
      </c>
      <c r="D579" s="469">
        <v>0</v>
      </c>
      <c r="E579" s="511">
        <v>0</v>
      </c>
      <c r="F579" s="511">
        <f t="shared" si="48"/>
        <v>0</v>
      </c>
      <c r="G579" s="469">
        <f t="shared" si="49"/>
        <v>0</v>
      </c>
      <c r="H579" s="506">
        <f>+J528*G579+E579</f>
        <v>0</v>
      </c>
      <c r="I579" s="512">
        <f>+J529*G579+E579</f>
        <v>0</v>
      </c>
      <c r="J579" s="509">
        <f t="shared" si="50"/>
        <v>0</v>
      </c>
      <c r="K579" s="509"/>
      <c r="L579" s="513"/>
      <c r="M579" s="509">
        <f t="shared" si="51"/>
        <v>0</v>
      </c>
      <c r="N579" s="513"/>
      <c r="O579" s="509">
        <f t="shared" si="52"/>
        <v>0</v>
      </c>
      <c r="P579" s="509">
        <f t="shared" si="53"/>
        <v>0</v>
      </c>
      <c r="Q579" s="471"/>
    </row>
    <row r="580" spans="3:17">
      <c r="C580" s="505">
        <f>IF(D527="","-",+C579+1)</f>
        <v>2063</v>
      </c>
      <c r="D580" s="469">
        <v>0</v>
      </c>
      <c r="E580" s="511">
        <v>0</v>
      </c>
      <c r="F580" s="511">
        <f t="shared" si="48"/>
        <v>0</v>
      </c>
      <c r="G580" s="469">
        <f t="shared" si="49"/>
        <v>0</v>
      </c>
      <c r="H580" s="506">
        <f>+J528*G580+E580</f>
        <v>0</v>
      </c>
      <c r="I580" s="512">
        <f>+J529*G580+E580</f>
        <v>0</v>
      </c>
      <c r="J580" s="509">
        <f t="shared" si="50"/>
        <v>0</v>
      </c>
      <c r="K580" s="509"/>
      <c r="L580" s="513"/>
      <c r="M580" s="509">
        <f t="shared" si="51"/>
        <v>0</v>
      </c>
      <c r="N580" s="513"/>
      <c r="O580" s="509">
        <f t="shared" si="52"/>
        <v>0</v>
      </c>
      <c r="P580" s="509">
        <f t="shared" si="53"/>
        <v>0</v>
      </c>
      <c r="Q580" s="471"/>
    </row>
    <row r="581" spans="3:17">
      <c r="C581" s="505">
        <f>IF(D527="","-",+C580+1)</f>
        <v>2064</v>
      </c>
      <c r="D581" s="469">
        <f t="shared" si="54"/>
        <v>0</v>
      </c>
      <c r="E581" s="511">
        <v>0</v>
      </c>
      <c r="F581" s="511">
        <f t="shared" si="48"/>
        <v>0</v>
      </c>
      <c r="G581" s="469">
        <f t="shared" si="49"/>
        <v>0</v>
      </c>
      <c r="H581" s="506">
        <f>+J528*G581+E581</f>
        <v>0</v>
      </c>
      <c r="I581" s="512">
        <f>+J529*G581+E581</f>
        <v>0</v>
      </c>
      <c r="J581" s="509">
        <f t="shared" si="50"/>
        <v>0</v>
      </c>
      <c r="K581" s="509"/>
      <c r="L581" s="513"/>
      <c r="M581" s="509">
        <f t="shared" si="51"/>
        <v>0</v>
      </c>
      <c r="N581" s="513"/>
      <c r="O581" s="509">
        <f t="shared" si="52"/>
        <v>0</v>
      </c>
      <c r="P581" s="509">
        <f t="shared" si="53"/>
        <v>0</v>
      </c>
      <c r="Q581" s="471"/>
    </row>
    <row r="582" spans="3:17">
      <c r="C582" s="505">
        <f>IF(D527="","-",+C581+1)</f>
        <v>2065</v>
      </c>
      <c r="D582" s="469">
        <f t="shared" si="54"/>
        <v>0</v>
      </c>
      <c r="E582" s="511">
        <v>0</v>
      </c>
      <c r="F582" s="511">
        <f t="shared" si="48"/>
        <v>0</v>
      </c>
      <c r="G582" s="469">
        <f t="shared" si="49"/>
        <v>0</v>
      </c>
      <c r="H582" s="506">
        <f>+J528*G582+E582</f>
        <v>0</v>
      </c>
      <c r="I582" s="512">
        <f>+J529*G582+E582</f>
        <v>0</v>
      </c>
      <c r="J582" s="509">
        <f t="shared" si="50"/>
        <v>0</v>
      </c>
      <c r="K582" s="509"/>
      <c r="L582" s="513"/>
      <c r="M582" s="509">
        <f t="shared" si="51"/>
        <v>0</v>
      </c>
      <c r="N582" s="513"/>
      <c r="O582" s="509">
        <f t="shared" si="52"/>
        <v>0</v>
      </c>
      <c r="P582" s="509">
        <f t="shared" si="53"/>
        <v>0</v>
      </c>
      <c r="Q582" s="471"/>
    </row>
    <row r="583" spans="3:17">
      <c r="C583" s="505">
        <f>IF(D527="","-",+C582+1)</f>
        <v>2066</v>
      </c>
      <c r="D583" s="469">
        <f t="shared" si="54"/>
        <v>0</v>
      </c>
      <c r="E583" s="511">
        <v>0</v>
      </c>
      <c r="F583" s="511">
        <f t="shared" si="48"/>
        <v>0</v>
      </c>
      <c r="G583" s="469">
        <f t="shared" si="49"/>
        <v>0</v>
      </c>
      <c r="H583" s="506">
        <f>+J528*G583+E583</f>
        <v>0</v>
      </c>
      <c r="I583" s="512">
        <f>+J529*G583+E583</f>
        <v>0</v>
      </c>
      <c r="J583" s="509">
        <f t="shared" si="50"/>
        <v>0</v>
      </c>
      <c r="K583" s="509"/>
      <c r="L583" s="513"/>
      <c r="M583" s="509">
        <f t="shared" si="51"/>
        <v>0</v>
      </c>
      <c r="N583" s="513"/>
      <c r="O583" s="509">
        <f t="shared" si="52"/>
        <v>0</v>
      </c>
      <c r="P583" s="509">
        <f t="shared" si="53"/>
        <v>0</v>
      </c>
      <c r="Q583" s="471"/>
    </row>
    <row r="584" spans="3:17">
      <c r="C584" s="505">
        <f>IF(D527="","-",+C583+1)</f>
        <v>2067</v>
      </c>
      <c r="D584" s="469">
        <f t="shared" si="54"/>
        <v>0</v>
      </c>
      <c r="E584" s="511">
        <v>0</v>
      </c>
      <c r="F584" s="511">
        <f t="shared" si="48"/>
        <v>0</v>
      </c>
      <c r="G584" s="469">
        <f t="shared" si="49"/>
        <v>0</v>
      </c>
      <c r="H584" s="506">
        <f>+J528*G584+E584</f>
        <v>0</v>
      </c>
      <c r="I584" s="512">
        <f>+J529*G584+E584</f>
        <v>0</v>
      </c>
      <c r="J584" s="509">
        <f t="shared" si="50"/>
        <v>0</v>
      </c>
      <c r="K584" s="509"/>
      <c r="L584" s="513"/>
      <c r="M584" s="509">
        <f t="shared" si="51"/>
        <v>0</v>
      </c>
      <c r="N584" s="513"/>
      <c r="O584" s="509">
        <f t="shared" si="52"/>
        <v>0</v>
      </c>
      <c r="P584" s="509">
        <f t="shared" si="53"/>
        <v>0</v>
      </c>
      <c r="Q584" s="471"/>
    </row>
    <row r="585" spans="3:17">
      <c r="C585" s="505">
        <f>IF(D527="","-",+C584+1)</f>
        <v>2068</v>
      </c>
      <c r="D585" s="469">
        <f t="shared" si="54"/>
        <v>0</v>
      </c>
      <c r="E585" s="511">
        <v>0</v>
      </c>
      <c r="F585" s="511">
        <f t="shared" si="48"/>
        <v>0</v>
      </c>
      <c r="G585" s="469">
        <f t="shared" si="49"/>
        <v>0</v>
      </c>
      <c r="H585" s="506">
        <f>+J528*G585+E585</f>
        <v>0</v>
      </c>
      <c r="I585" s="512">
        <f>+J529*G585+E585</f>
        <v>0</v>
      </c>
      <c r="J585" s="509">
        <f t="shared" si="50"/>
        <v>0</v>
      </c>
      <c r="K585" s="509"/>
      <c r="L585" s="513"/>
      <c r="M585" s="509">
        <f t="shared" si="51"/>
        <v>0</v>
      </c>
      <c r="N585" s="513"/>
      <c r="O585" s="509">
        <f t="shared" si="52"/>
        <v>0</v>
      </c>
      <c r="P585" s="509">
        <f t="shared" si="53"/>
        <v>0</v>
      </c>
      <c r="Q585" s="471"/>
    </row>
    <row r="586" spans="3:17">
      <c r="C586" s="505">
        <f>IF(D527="","-",+C585+1)</f>
        <v>2069</v>
      </c>
      <c r="D586" s="469">
        <f t="shared" si="54"/>
        <v>0</v>
      </c>
      <c r="E586" s="511">
        <v>0</v>
      </c>
      <c r="F586" s="511">
        <f t="shared" si="48"/>
        <v>0</v>
      </c>
      <c r="G586" s="469">
        <f t="shared" si="49"/>
        <v>0</v>
      </c>
      <c r="H586" s="506">
        <f>+J528*G586+E586</f>
        <v>0</v>
      </c>
      <c r="I586" s="512">
        <f>+J529*G586+E586</f>
        <v>0</v>
      </c>
      <c r="J586" s="509">
        <f t="shared" si="50"/>
        <v>0</v>
      </c>
      <c r="K586" s="509"/>
      <c r="L586" s="513"/>
      <c r="M586" s="509">
        <f t="shared" si="51"/>
        <v>0</v>
      </c>
      <c r="N586" s="513"/>
      <c r="O586" s="509">
        <f t="shared" si="52"/>
        <v>0</v>
      </c>
      <c r="P586" s="509">
        <f t="shared" si="53"/>
        <v>0</v>
      </c>
      <c r="Q586" s="471"/>
    </row>
    <row r="587" spans="3:17">
      <c r="C587" s="505">
        <f>IF(D527="","-",+C586+1)</f>
        <v>2070</v>
      </c>
      <c r="D587" s="469">
        <f t="shared" si="54"/>
        <v>0</v>
      </c>
      <c r="E587" s="511">
        <v>0</v>
      </c>
      <c r="F587" s="511">
        <f t="shared" si="48"/>
        <v>0</v>
      </c>
      <c r="G587" s="469">
        <f t="shared" si="49"/>
        <v>0</v>
      </c>
      <c r="H587" s="506">
        <f>+J528*G587+E587</f>
        <v>0</v>
      </c>
      <c r="I587" s="512">
        <f>+J529*G587+E587</f>
        <v>0</v>
      </c>
      <c r="J587" s="509">
        <f t="shared" si="50"/>
        <v>0</v>
      </c>
      <c r="K587" s="509"/>
      <c r="L587" s="513"/>
      <c r="M587" s="509">
        <f t="shared" si="51"/>
        <v>0</v>
      </c>
      <c r="N587" s="513"/>
      <c r="O587" s="509">
        <f t="shared" si="52"/>
        <v>0</v>
      </c>
      <c r="P587" s="509">
        <f t="shared" si="53"/>
        <v>0</v>
      </c>
      <c r="Q587" s="471"/>
    </row>
    <row r="588" spans="3:17">
      <c r="C588" s="505">
        <f>IF(D527="","-",+C587+1)</f>
        <v>2071</v>
      </c>
      <c r="D588" s="469">
        <f t="shared" si="54"/>
        <v>0</v>
      </c>
      <c r="E588" s="511">
        <v>0</v>
      </c>
      <c r="F588" s="511">
        <f t="shared" si="48"/>
        <v>0</v>
      </c>
      <c r="G588" s="469">
        <f t="shared" si="49"/>
        <v>0</v>
      </c>
      <c r="H588" s="506">
        <f>+J528*G588+E588</f>
        <v>0</v>
      </c>
      <c r="I588" s="512">
        <f>+J529*G588+E588</f>
        <v>0</v>
      </c>
      <c r="J588" s="509">
        <f t="shared" si="50"/>
        <v>0</v>
      </c>
      <c r="K588" s="509"/>
      <c r="L588" s="513"/>
      <c r="M588" s="509">
        <f t="shared" si="51"/>
        <v>0</v>
      </c>
      <c r="N588" s="513"/>
      <c r="O588" s="509">
        <f t="shared" si="52"/>
        <v>0</v>
      </c>
      <c r="P588" s="509">
        <f t="shared" si="53"/>
        <v>0</v>
      </c>
      <c r="Q588" s="471"/>
    </row>
    <row r="589" spans="3:17">
      <c r="C589" s="505">
        <f>IF(D527="","-",+C588+1)</f>
        <v>2072</v>
      </c>
      <c r="D589" s="469">
        <f t="shared" si="54"/>
        <v>0</v>
      </c>
      <c r="E589" s="511">
        <v>0</v>
      </c>
      <c r="F589" s="511">
        <f t="shared" si="48"/>
        <v>0</v>
      </c>
      <c r="G589" s="469">
        <f t="shared" si="49"/>
        <v>0</v>
      </c>
      <c r="H589" s="506">
        <f>+J528*G589+E589</f>
        <v>0</v>
      </c>
      <c r="I589" s="512">
        <f>+J529*G589+E589</f>
        <v>0</v>
      </c>
      <c r="J589" s="509">
        <f t="shared" si="50"/>
        <v>0</v>
      </c>
      <c r="K589" s="509"/>
      <c r="L589" s="513"/>
      <c r="M589" s="509">
        <f t="shared" si="51"/>
        <v>0</v>
      </c>
      <c r="N589" s="513"/>
      <c r="O589" s="509">
        <f t="shared" si="52"/>
        <v>0</v>
      </c>
      <c r="P589" s="509">
        <f t="shared" si="53"/>
        <v>0</v>
      </c>
      <c r="Q589" s="471"/>
    </row>
    <row r="590" spans="3:17">
      <c r="C590" s="505">
        <f>IF(D527="","-",+C589+1)</f>
        <v>2073</v>
      </c>
      <c r="D590" s="469">
        <f t="shared" si="54"/>
        <v>0</v>
      </c>
      <c r="E590" s="511">
        <v>0</v>
      </c>
      <c r="F590" s="511">
        <f t="shared" si="48"/>
        <v>0</v>
      </c>
      <c r="G590" s="469">
        <f t="shared" si="49"/>
        <v>0</v>
      </c>
      <c r="H590" s="506">
        <f>+J528*G590+E590</f>
        <v>0</v>
      </c>
      <c r="I590" s="512">
        <f>+J529*G590+E590</f>
        <v>0</v>
      </c>
      <c r="J590" s="509">
        <f t="shared" si="50"/>
        <v>0</v>
      </c>
      <c r="K590" s="509"/>
      <c r="L590" s="513"/>
      <c r="M590" s="509">
        <f t="shared" si="51"/>
        <v>0</v>
      </c>
      <c r="N590" s="513"/>
      <c r="O590" s="509">
        <f t="shared" si="52"/>
        <v>0</v>
      </c>
      <c r="P590" s="509">
        <f t="shared" si="53"/>
        <v>0</v>
      </c>
      <c r="Q590" s="471"/>
    </row>
    <row r="591" spans="3:17">
      <c r="C591" s="505">
        <f>IF(D527="","-",+C590+1)</f>
        <v>2074</v>
      </c>
      <c r="D591" s="469">
        <f t="shared" si="54"/>
        <v>0</v>
      </c>
      <c r="E591" s="511">
        <v>0</v>
      </c>
      <c r="F591" s="511">
        <f t="shared" si="48"/>
        <v>0</v>
      </c>
      <c r="G591" s="469">
        <f t="shared" si="49"/>
        <v>0</v>
      </c>
      <c r="H591" s="506">
        <f>+J528*G591+E591</f>
        <v>0</v>
      </c>
      <c r="I591" s="512">
        <f>+J529*G591+E591</f>
        <v>0</v>
      </c>
      <c r="J591" s="509">
        <f t="shared" si="50"/>
        <v>0</v>
      </c>
      <c r="K591" s="509"/>
      <c r="L591" s="513"/>
      <c r="M591" s="509">
        <f t="shared" si="51"/>
        <v>0</v>
      </c>
      <c r="N591" s="513"/>
      <c r="O591" s="509">
        <f t="shared" si="52"/>
        <v>0</v>
      </c>
      <c r="P591" s="509">
        <f t="shared" si="53"/>
        <v>0</v>
      </c>
      <c r="Q591" s="471"/>
    </row>
    <row r="592" spans="3:17" ht="13.5" thickBot="1">
      <c r="C592" s="515">
        <f>IF(D527="","-",+C591+1)</f>
        <v>2075</v>
      </c>
      <c r="D592" s="516">
        <f t="shared" si="54"/>
        <v>0</v>
      </c>
      <c r="E592" s="976">
        <v>0</v>
      </c>
      <c r="F592" s="517">
        <f t="shared" si="48"/>
        <v>0</v>
      </c>
      <c r="G592" s="516">
        <f t="shared" si="49"/>
        <v>0</v>
      </c>
      <c r="H592" s="518">
        <f>+J528*G592+E592</f>
        <v>0</v>
      </c>
      <c r="I592" s="518">
        <f>+J529*G592+E592</f>
        <v>0</v>
      </c>
      <c r="J592" s="519">
        <f t="shared" si="50"/>
        <v>0</v>
      </c>
      <c r="K592" s="509"/>
      <c r="L592" s="520"/>
      <c r="M592" s="519">
        <f t="shared" si="51"/>
        <v>0</v>
      </c>
      <c r="N592" s="520"/>
      <c r="O592" s="519">
        <f t="shared" si="52"/>
        <v>0</v>
      </c>
      <c r="P592" s="519">
        <f t="shared" si="53"/>
        <v>0</v>
      </c>
      <c r="Q592" s="471"/>
    </row>
    <row r="593" spans="1:17">
      <c r="C593" s="469" t="s">
        <v>288</v>
      </c>
      <c r="D593" s="467"/>
      <c r="E593" s="467">
        <f>SUM(E533:E592)</f>
        <v>5835249.113928576</v>
      </c>
      <c r="F593" s="467"/>
      <c r="G593" s="467"/>
      <c r="H593" s="467">
        <f>SUM(H533:H592)</f>
        <v>23528792.981567036</v>
      </c>
      <c r="I593" s="467">
        <f>SUM(I533:I592)</f>
        <v>23528792.981567036</v>
      </c>
      <c r="J593" s="467">
        <f>SUM(J533:J592)</f>
        <v>0</v>
      </c>
      <c r="K593" s="467"/>
      <c r="L593" s="467"/>
      <c r="M593" s="467"/>
      <c r="N593" s="467"/>
      <c r="O593" s="467"/>
      <c r="Q593" s="467"/>
    </row>
    <row r="594" spans="1:17">
      <c r="D594" s="79"/>
      <c r="E594" s="4"/>
      <c r="F594" s="4"/>
      <c r="G594" s="4"/>
      <c r="H594" s="4"/>
      <c r="I594" s="452"/>
      <c r="J594" s="452"/>
      <c r="K594" s="467"/>
      <c r="L594" s="452"/>
      <c r="M594" s="452"/>
      <c r="N594" s="452"/>
      <c r="O594" s="452"/>
      <c r="Q594" s="467"/>
    </row>
    <row r="595" spans="1:17">
      <c r="C595" s="4" t="s">
        <v>595</v>
      </c>
      <c r="D595" s="79"/>
      <c r="E595" s="4"/>
      <c r="F595" s="4"/>
      <c r="G595" s="4"/>
      <c r="H595" s="4"/>
      <c r="I595" s="452"/>
      <c r="J595" s="452"/>
      <c r="K595" s="467"/>
      <c r="L595" s="452"/>
      <c r="M595" s="452"/>
      <c r="N595" s="452"/>
      <c r="O595" s="452"/>
      <c r="Q595" s="467"/>
    </row>
    <row r="596" spans="1:17">
      <c r="D596" s="79"/>
      <c r="E596" s="4"/>
      <c r="F596" s="4"/>
      <c r="G596" s="4"/>
      <c r="H596" s="4"/>
      <c r="I596" s="452"/>
      <c r="J596" s="452"/>
      <c r="K596" s="467"/>
      <c r="L596" s="452"/>
      <c r="M596" s="452"/>
      <c r="N596" s="452"/>
      <c r="O596" s="452"/>
      <c r="Q596" s="467"/>
    </row>
    <row r="597" spans="1:17">
      <c r="C597" s="4" t="s">
        <v>596</v>
      </c>
      <c r="D597" s="469"/>
      <c r="E597" s="469"/>
      <c r="F597" s="469"/>
      <c r="G597" s="469"/>
      <c r="H597" s="467"/>
      <c r="I597" s="467"/>
      <c r="J597" s="471"/>
      <c r="K597" s="471"/>
      <c r="L597" s="471"/>
      <c r="M597" s="471"/>
      <c r="N597" s="471"/>
      <c r="O597" s="471"/>
      <c r="Q597" s="471"/>
    </row>
    <row r="598" spans="1:17">
      <c r="C598" s="4" t="s">
        <v>476</v>
      </c>
      <c r="D598" s="469"/>
      <c r="E598" s="469"/>
      <c r="F598" s="469"/>
      <c r="G598" s="469"/>
      <c r="H598" s="467"/>
      <c r="I598" s="467"/>
      <c r="J598" s="471"/>
      <c r="K598" s="471"/>
      <c r="L598" s="471"/>
      <c r="M598" s="471"/>
      <c r="N598" s="471"/>
      <c r="O598" s="471"/>
      <c r="Q598" s="471"/>
    </row>
    <row r="599" spans="1:17">
      <c r="C599" s="4" t="s">
        <v>289</v>
      </c>
      <c r="D599" s="469"/>
      <c r="E599" s="469"/>
      <c r="F599" s="469"/>
      <c r="G599" s="469"/>
      <c r="H599" s="467"/>
      <c r="I599" s="467"/>
      <c r="J599" s="471"/>
      <c r="K599" s="471"/>
      <c r="L599" s="471"/>
      <c r="M599" s="471"/>
      <c r="N599" s="471"/>
      <c r="O599" s="471"/>
      <c r="Q599" s="471"/>
    </row>
    <row r="600" spans="1:17" ht="20.25">
      <c r="A600" s="411" t="s">
        <v>762</v>
      </c>
      <c r="B600" s="4"/>
      <c r="C600" s="4"/>
      <c r="D600" s="79"/>
      <c r="E600" s="4"/>
      <c r="F600" s="81"/>
      <c r="G600" s="81"/>
      <c r="H600" s="4"/>
      <c r="I600" s="452"/>
      <c r="L600" s="11"/>
      <c r="M600" s="11"/>
      <c r="N600" s="11"/>
      <c r="O600" s="11" t="str">
        <f>"Page "&amp;SUM(Q$3:Q600)&amp;" of "</f>
        <v xml:space="preserve">Page 8 of </v>
      </c>
      <c r="P600" s="412">
        <f>COUNT(Q$8:Q$58212)</f>
        <v>23</v>
      </c>
      <c r="Q600" s="539">
        <v>1</v>
      </c>
    </row>
    <row r="601" spans="1:17">
      <c r="B601" s="4"/>
      <c r="C601" s="4"/>
      <c r="D601" s="79"/>
      <c r="E601" s="4"/>
      <c r="F601" s="4"/>
      <c r="G601" s="4"/>
      <c r="H601" s="4"/>
      <c r="I601" s="452"/>
      <c r="J601" s="4"/>
      <c r="K601" s="4"/>
    </row>
    <row r="602" spans="1:17" ht="18">
      <c r="B602" s="413" t="s">
        <v>174</v>
      </c>
      <c r="C602" s="472" t="s">
        <v>290</v>
      </c>
      <c r="D602" s="79"/>
      <c r="E602" s="4"/>
      <c r="F602" s="4"/>
      <c r="G602" s="4"/>
      <c r="H602" s="4"/>
      <c r="I602" s="452"/>
      <c r="J602" s="452"/>
      <c r="K602" s="467"/>
      <c r="L602" s="452"/>
      <c r="M602" s="452"/>
      <c r="N602" s="452"/>
      <c r="O602" s="452"/>
      <c r="Q602" s="467"/>
    </row>
    <row r="603" spans="1:17" ht="18.75">
      <c r="B603" s="413"/>
      <c r="C603" s="13"/>
      <c r="D603" s="79"/>
      <c r="E603" s="4"/>
      <c r="F603" s="4"/>
      <c r="G603" s="4"/>
      <c r="H603" s="4"/>
      <c r="I603" s="452"/>
      <c r="J603" s="452"/>
      <c r="K603" s="467"/>
      <c r="L603" s="452"/>
      <c r="M603" s="452"/>
      <c r="N603" s="452"/>
      <c r="O603" s="452"/>
      <c r="Q603" s="467"/>
    </row>
    <row r="604" spans="1:17" ht="18.75">
      <c r="B604" s="413"/>
      <c r="C604" s="13" t="s">
        <v>291</v>
      </c>
      <c r="D604" s="79"/>
      <c r="E604" s="4"/>
      <c r="F604" s="4"/>
      <c r="G604" s="4"/>
      <c r="H604" s="4"/>
      <c r="I604" s="452"/>
      <c r="J604" s="452"/>
      <c r="K604" s="467"/>
      <c r="L604" s="452"/>
      <c r="M604" s="452"/>
      <c r="N604" s="452"/>
      <c r="O604" s="452"/>
      <c r="Q604" s="467"/>
    </row>
    <row r="605" spans="1:17" ht="15.75" thickBot="1">
      <c r="C605" s="247"/>
      <c r="D605" s="79"/>
      <c r="E605" s="4"/>
      <c r="F605" s="4"/>
      <c r="G605" s="4"/>
      <c r="H605" s="4"/>
      <c r="I605" s="452"/>
      <c r="J605" s="452"/>
      <c r="K605" s="467"/>
      <c r="L605" s="452"/>
      <c r="M605" s="452"/>
      <c r="N605" s="452"/>
      <c r="O605" s="452"/>
      <c r="Q605" s="467"/>
    </row>
    <row r="606" spans="1:17" ht="15.75">
      <c r="C606" s="414" t="s">
        <v>292</v>
      </c>
      <c r="D606" s="79"/>
      <c r="E606" s="4"/>
      <c r="F606" s="4"/>
      <c r="G606" s="4"/>
      <c r="H606" s="635"/>
      <c r="I606" s="4" t="s">
        <v>271</v>
      </c>
      <c r="J606" s="4"/>
      <c r="K606" s="4"/>
      <c r="L606" s="540">
        <f>+J612</f>
        <v>2025</v>
      </c>
      <c r="M606" s="524" t="s">
        <v>254</v>
      </c>
      <c r="N606" s="524" t="s">
        <v>255</v>
      </c>
      <c r="O606" s="525" t="s">
        <v>256</v>
      </c>
    </row>
    <row r="607" spans="1:17" ht="15.75">
      <c r="C607" s="414"/>
      <c r="D607" s="79"/>
      <c r="E607" s="4"/>
      <c r="F607" s="4"/>
      <c r="H607" s="4"/>
      <c r="I607" s="476"/>
      <c r="J607" s="476"/>
      <c r="K607" s="477"/>
      <c r="L607" s="541" t="s">
        <v>455</v>
      </c>
      <c r="M607" s="542">
        <f>VLOOKUP(J612,C619:P678,10)</f>
        <v>515862.01954132016</v>
      </c>
      <c r="N607" s="542">
        <f>VLOOKUP(J612,C619:P678,12)</f>
        <v>515862.01954132016</v>
      </c>
      <c r="O607" s="543">
        <f>+N607-M607</f>
        <v>0</v>
      </c>
      <c r="Q607" s="477"/>
    </row>
    <row r="608" spans="1:17">
      <c r="C608" s="479" t="s">
        <v>293</v>
      </c>
      <c r="D608" s="1278" t="s">
        <v>930</v>
      </c>
      <c r="E608" s="1279"/>
      <c r="F608" s="1279"/>
      <c r="G608" s="1279"/>
      <c r="H608" s="1279"/>
      <c r="I608" s="1279"/>
      <c r="J608" s="452"/>
      <c r="K608" s="467"/>
      <c r="L608" s="541" t="s">
        <v>456</v>
      </c>
      <c r="M608" s="544">
        <f>VLOOKUP(J612,C619:P678,6)</f>
        <v>529536.17777465249</v>
      </c>
      <c r="N608" s="544">
        <f>VLOOKUP(J612,C619:P678,7)</f>
        <v>529536.17777465249</v>
      </c>
      <c r="O608" s="545">
        <f>+N608-M608</f>
        <v>0</v>
      </c>
      <c r="Q608" s="467"/>
    </row>
    <row r="609" spans="1:17" ht="13.5" thickBot="1">
      <c r="C609" s="481"/>
      <c r="D609" s="1279"/>
      <c r="E609" s="1279"/>
      <c r="F609" s="1279"/>
      <c r="G609" s="1279"/>
      <c r="H609" s="1279"/>
      <c r="I609" s="1279"/>
      <c r="J609" s="452"/>
      <c r="K609" s="467"/>
      <c r="L609" s="492" t="s">
        <v>457</v>
      </c>
      <c r="M609" s="546">
        <f>+M608-M607</f>
        <v>13674.158233332331</v>
      </c>
      <c r="N609" s="546">
        <f>+N608-N607</f>
        <v>13674.158233332331</v>
      </c>
      <c r="O609" s="547">
        <f>+O608-O607</f>
        <v>0</v>
      </c>
      <c r="Q609" s="467"/>
    </row>
    <row r="610" spans="1:17" ht="13.5" thickBot="1">
      <c r="C610" s="481"/>
      <c r="D610" s="4"/>
      <c r="E610" s="483"/>
      <c r="F610" s="483"/>
      <c r="G610" s="483"/>
      <c r="H610" s="483"/>
      <c r="I610" s="483"/>
      <c r="J610" s="483"/>
      <c r="K610" s="483"/>
      <c r="L610" s="483"/>
      <c r="M610" s="483"/>
      <c r="N610" s="483"/>
      <c r="O610" s="483"/>
      <c r="Q610" s="483"/>
    </row>
    <row r="611" spans="1:17" ht="13.5" thickBot="1">
      <c r="C611" s="484" t="s">
        <v>294</v>
      </c>
      <c r="D611" s="485"/>
      <c r="E611" s="485"/>
      <c r="F611" s="485"/>
      <c r="G611" s="485"/>
      <c r="H611" s="485"/>
      <c r="I611" s="485"/>
      <c r="J611" s="485"/>
      <c r="Q611"/>
    </row>
    <row r="612" spans="1:17" ht="15">
      <c r="A612" s="977"/>
      <c r="C612" s="487" t="s">
        <v>272</v>
      </c>
      <c r="D612" s="926">
        <v>4008039.75</v>
      </c>
      <c r="E612" s="4" t="s">
        <v>273</v>
      </c>
      <c r="H612" s="79"/>
      <c r="I612" s="79"/>
      <c r="J612" s="488">
        <f>$J$95</f>
        <v>2025</v>
      </c>
      <c r="K612" s="135"/>
      <c r="L612" s="1287" t="s">
        <v>274</v>
      </c>
      <c r="M612" s="1287"/>
      <c r="N612" s="1287"/>
      <c r="O612" s="1287"/>
      <c r="Q612" s="135"/>
    </row>
    <row r="613" spans="1:17">
      <c r="A613" s="977"/>
      <c r="C613" s="487" t="s">
        <v>275</v>
      </c>
      <c r="D613" s="636">
        <v>2013</v>
      </c>
      <c r="E613" s="487" t="s">
        <v>276</v>
      </c>
      <c r="F613" s="79"/>
      <c r="G613" s="79"/>
      <c r="I613"/>
      <c r="J613" s="638">
        <v>0</v>
      </c>
      <c r="K613" s="489"/>
      <c r="L613" s="467" t="s">
        <v>475</v>
      </c>
      <c r="Q613" s="489"/>
    </row>
    <row r="614" spans="1:17">
      <c r="A614" s="977"/>
      <c r="C614" s="487" t="s">
        <v>277</v>
      </c>
      <c r="D614" s="926">
        <v>10</v>
      </c>
      <c r="E614" s="487" t="s">
        <v>278</v>
      </c>
      <c r="F614" s="79"/>
      <c r="G614" s="79"/>
      <c r="I614"/>
      <c r="J614" s="490">
        <f>$F$70</f>
        <v>0.14996626714737105</v>
      </c>
      <c r="K614" s="81"/>
      <c r="L614" s="4" t="str">
        <f>"          INPUT TRUE-UP ARR (WITH &amp; WITHOUT INCENTIVES) FROM EACH PRIOR YEAR"</f>
        <v xml:space="preserve">          INPUT TRUE-UP ARR (WITH &amp; WITHOUT INCENTIVES) FROM EACH PRIOR YEAR</v>
      </c>
      <c r="Q614" s="81"/>
    </row>
    <row r="615" spans="1:17">
      <c r="A615" s="977"/>
      <c r="C615" s="487" t="s">
        <v>279</v>
      </c>
      <c r="D615" s="491">
        <f>H79</f>
        <v>42</v>
      </c>
      <c r="E615" s="487" t="s">
        <v>280</v>
      </c>
      <c r="F615" s="79"/>
      <c r="G615" s="79"/>
      <c r="I615"/>
      <c r="J615" s="490">
        <f>IF(H606="",J614,$F$69)</f>
        <v>0.14996626714737105</v>
      </c>
      <c r="K615" s="81"/>
      <c r="L615" s="4" t="s">
        <v>362</v>
      </c>
      <c r="M615" s="81"/>
      <c r="N615" s="81"/>
      <c r="O615" s="81"/>
      <c r="Q615" s="81"/>
    </row>
    <row r="616" spans="1:17" ht="13.5" thickBot="1">
      <c r="A616" s="977"/>
      <c r="C616" s="487" t="s">
        <v>281</v>
      </c>
      <c r="D616" s="637" t="s">
        <v>923</v>
      </c>
      <c r="E616" s="492" t="s">
        <v>282</v>
      </c>
      <c r="F616" s="493"/>
      <c r="G616" s="493"/>
      <c r="H616" s="494"/>
      <c r="I616" s="494"/>
      <c r="J616" s="480">
        <f>IF(D612=0,0,D612/D615)</f>
        <v>95429.517857142855</v>
      </c>
      <c r="K616" s="467"/>
      <c r="L616" s="467" t="s">
        <v>363</v>
      </c>
      <c r="M616" s="467"/>
      <c r="N616" s="467"/>
      <c r="O616" s="467"/>
      <c r="Q616" s="467"/>
    </row>
    <row r="617" spans="1:17" ht="38.25">
      <c r="A617" s="12"/>
      <c r="B617" s="12"/>
      <c r="C617" s="495" t="s">
        <v>272</v>
      </c>
      <c r="D617" s="496" t="s">
        <v>283</v>
      </c>
      <c r="E617" s="497" t="s">
        <v>284</v>
      </c>
      <c r="F617" s="496" t="s">
        <v>285</v>
      </c>
      <c r="G617" s="496" t="s">
        <v>458</v>
      </c>
      <c r="H617" s="497" t="s">
        <v>356</v>
      </c>
      <c r="I617" s="498" t="s">
        <v>356</v>
      </c>
      <c r="J617" s="495" t="s">
        <v>295</v>
      </c>
      <c r="K617" s="499"/>
      <c r="L617" s="497" t="s">
        <v>358</v>
      </c>
      <c r="M617" s="497" t="s">
        <v>364</v>
      </c>
      <c r="N617" s="497" t="s">
        <v>358</v>
      </c>
      <c r="O617" s="497" t="s">
        <v>366</v>
      </c>
      <c r="P617" s="497" t="s">
        <v>286</v>
      </c>
      <c r="Q617" s="128"/>
    </row>
    <row r="618" spans="1:17" ht="13.5" thickBot="1">
      <c r="C618" s="500" t="s">
        <v>177</v>
      </c>
      <c r="D618" s="501" t="s">
        <v>178</v>
      </c>
      <c r="E618" s="500" t="s">
        <v>37</v>
      </c>
      <c r="F618" s="501" t="s">
        <v>178</v>
      </c>
      <c r="G618" s="501" t="s">
        <v>178</v>
      </c>
      <c r="H618" s="502" t="s">
        <v>298</v>
      </c>
      <c r="I618" s="503" t="s">
        <v>300</v>
      </c>
      <c r="J618" s="500" t="s">
        <v>389</v>
      </c>
      <c r="K618" s="504"/>
      <c r="L618" s="502" t="s">
        <v>287</v>
      </c>
      <c r="M618" s="502" t="s">
        <v>287</v>
      </c>
      <c r="N618" s="502" t="s">
        <v>467</v>
      </c>
      <c r="O618" s="502" t="s">
        <v>467</v>
      </c>
      <c r="P618" s="502" t="s">
        <v>467</v>
      </c>
      <c r="Q618" s="135"/>
    </row>
    <row r="619" spans="1:17">
      <c r="C619" s="505">
        <f>IF(D613= "","-",D613)</f>
        <v>2013</v>
      </c>
      <c r="D619" s="469">
        <f>+D612</f>
        <v>4008039.75</v>
      </c>
      <c r="E619" s="506">
        <f>+J616/12*(12-D614)</f>
        <v>15904.919642857143</v>
      </c>
      <c r="F619" s="548">
        <f t="shared" ref="F619:F678" si="56">+D619-E619</f>
        <v>3992134.8303571427</v>
      </c>
      <c r="G619" s="469">
        <f t="shared" ref="G619:G678" si="57">+(D619+F619)/2</f>
        <v>4000087.2901785714</v>
      </c>
      <c r="H619" s="507">
        <f>+J614*G619+E619</f>
        <v>615783.07881458034</v>
      </c>
      <c r="I619" s="508">
        <f>+J615*G619+E619</f>
        <v>615783.07881458034</v>
      </c>
      <c r="J619" s="509">
        <f t="shared" ref="J619:J678" si="58">+I619-H619</f>
        <v>0</v>
      </c>
      <c r="K619" s="509"/>
      <c r="L619" s="513">
        <v>9.9999999999999995E-7</v>
      </c>
      <c r="M619" s="549">
        <f t="shared" ref="M619:M678" si="59">IF(L619&lt;&gt;0,+H619-L619,0)</f>
        <v>615783.07881358033</v>
      </c>
      <c r="N619" s="513">
        <v>9.9999999999999995E-7</v>
      </c>
      <c r="O619" s="549">
        <f t="shared" ref="O619:O678" si="60">IF(N619&lt;&gt;0,+I619-N619,0)</f>
        <v>615783.07881358033</v>
      </c>
      <c r="P619" s="549">
        <f t="shared" ref="P619:P678" si="61">+O619-M619</f>
        <v>0</v>
      </c>
      <c r="Q619" s="471"/>
    </row>
    <row r="620" spans="1:17">
      <c r="C620" s="505">
        <f>IF(D613="","-",+C619+1)</f>
        <v>2014</v>
      </c>
      <c r="D620" s="469">
        <f t="shared" ref="D620:D678" si="62">F619</f>
        <v>3992134.8303571427</v>
      </c>
      <c r="E620" s="511">
        <f>IF(D620&gt;$J$616,$J$616,D620)</f>
        <v>95429.517857142855</v>
      </c>
      <c r="F620" s="511">
        <f t="shared" si="56"/>
        <v>3896705.3125</v>
      </c>
      <c r="G620" s="469">
        <f t="shared" si="57"/>
        <v>3944420.0714285714</v>
      </c>
      <c r="H620" s="506">
        <f>+J614*G620+E620</f>
        <v>686959.47203045234</v>
      </c>
      <c r="I620" s="512">
        <f>+J615*G620+E620</f>
        <v>686959.47203045234</v>
      </c>
      <c r="J620" s="509">
        <f t="shared" si="58"/>
        <v>0</v>
      </c>
      <c r="K620" s="509"/>
      <c r="L620" s="513">
        <v>7389952</v>
      </c>
      <c r="M620" s="509">
        <f t="shared" si="59"/>
        <v>-6702992.5279695475</v>
      </c>
      <c r="N620" s="513">
        <v>7389952</v>
      </c>
      <c r="O620" s="509">
        <f t="shared" si="60"/>
        <v>-6702992.5279695475</v>
      </c>
      <c r="P620" s="509">
        <f t="shared" si="61"/>
        <v>0</v>
      </c>
      <c r="Q620" s="471"/>
    </row>
    <row r="621" spans="1:17">
      <c r="C621" s="505">
        <f>IF(D613="","-",+C620+1)</f>
        <v>2015</v>
      </c>
      <c r="D621" s="469">
        <f t="shared" si="62"/>
        <v>3896705.3125</v>
      </c>
      <c r="E621" s="511">
        <f t="shared" ref="E621:E678" si="63">IF(D621&gt;$J$616,$J$616,D621)</f>
        <v>95429.517857142855</v>
      </c>
      <c r="F621" s="511">
        <f t="shared" si="56"/>
        <v>3801275.7946428573</v>
      </c>
      <c r="G621" s="469">
        <f t="shared" si="57"/>
        <v>3848990.5535714286</v>
      </c>
      <c r="H621" s="506">
        <f>+J614*G621+E621</f>
        <v>672648.26346174325</v>
      </c>
      <c r="I621" s="512">
        <f>+J615*G621+E621</f>
        <v>672648.26346174325</v>
      </c>
      <c r="J621" s="509">
        <f t="shared" si="58"/>
        <v>0</v>
      </c>
      <c r="K621" s="509"/>
      <c r="L621" s="513">
        <v>583939</v>
      </c>
      <c r="M621" s="509">
        <f t="shared" si="59"/>
        <v>88709.263461743249</v>
      </c>
      <c r="N621" s="513">
        <v>583939</v>
      </c>
      <c r="O621" s="509">
        <f t="shared" si="60"/>
        <v>88709.263461743249</v>
      </c>
      <c r="P621" s="509">
        <f t="shared" si="61"/>
        <v>0</v>
      </c>
      <c r="Q621" s="471"/>
    </row>
    <row r="622" spans="1:17">
      <c r="C622" s="505">
        <f>IF(D613="","-",+C621+1)</f>
        <v>2016</v>
      </c>
      <c r="D622" s="469">
        <f t="shared" si="62"/>
        <v>3801275.7946428573</v>
      </c>
      <c r="E622" s="511">
        <f t="shared" si="63"/>
        <v>95429.517857142855</v>
      </c>
      <c r="F622" s="511">
        <f t="shared" si="56"/>
        <v>3705846.2767857146</v>
      </c>
      <c r="G622" s="469">
        <f t="shared" si="57"/>
        <v>3753561.0357142859</v>
      </c>
      <c r="H622" s="506">
        <f>+J614*G622+E622</f>
        <v>658337.05489303416</v>
      </c>
      <c r="I622" s="512">
        <f>+J615*G622+E622</f>
        <v>658337.05489303416</v>
      </c>
      <c r="J622" s="509">
        <f t="shared" si="58"/>
        <v>0</v>
      </c>
      <c r="K622" s="509"/>
      <c r="L622" s="513">
        <v>662503</v>
      </c>
      <c r="M622" s="509">
        <f t="shared" si="59"/>
        <v>-4165.9451069658389</v>
      </c>
      <c r="N622" s="513">
        <v>662503</v>
      </c>
      <c r="O622" s="509">
        <f t="shared" si="60"/>
        <v>-4165.9451069658389</v>
      </c>
      <c r="P622" s="509">
        <f t="shared" si="61"/>
        <v>0</v>
      </c>
      <c r="Q622" s="471"/>
    </row>
    <row r="623" spans="1:17">
      <c r="C623" s="505">
        <f>IF(D613="","-",+C622+1)</f>
        <v>2017</v>
      </c>
      <c r="D623" s="469">
        <f t="shared" si="62"/>
        <v>3705846.2767857146</v>
      </c>
      <c r="E623" s="511">
        <f t="shared" si="63"/>
        <v>95429.517857142855</v>
      </c>
      <c r="F623" s="511">
        <f t="shared" si="56"/>
        <v>3610416.7589285718</v>
      </c>
      <c r="G623" s="469">
        <f t="shared" si="57"/>
        <v>3658131.5178571432</v>
      </c>
      <c r="H623" s="506">
        <f>+J614*G623+E623</f>
        <v>644025.84632432507</v>
      </c>
      <c r="I623" s="512">
        <f>+J615*G623+E623</f>
        <v>644025.84632432507</v>
      </c>
      <c r="J623" s="509">
        <f t="shared" si="58"/>
        <v>0</v>
      </c>
      <c r="K623" s="509"/>
      <c r="L623" s="513">
        <v>750034</v>
      </c>
      <c r="M623" s="509">
        <f t="shared" si="59"/>
        <v>-106008.15367567493</v>
      </c>
      <c r="N623" s="513">
        <v>750034</v>
      </c>
      <c r="O623" s="509">
        <f t="shared" si="60"/>
        <v>-106008.15367567493</v>
      </c>
      <c r="P623" s="509">
        <f t="shared" si="61"/>
        <v>0</v>
      </c>
      <c r="Q623" s="471"/>
    </row>
    <row r="624" spans="1:17">
      <c r="C624" s="505">
        <f>IF(D613="","-",+C623+1)</f>
        <v>2018</v>
      </c>
      <c r="D624" s="469">
        <f t="shared" si="62"/>
        <v>3610416.7589285718</v>
      </c>
      <c r="E624" s="511">
        <f t="shared" si="63"/>
        <v>95429.517857142855</v>
      </c>
      <c r="F624" s="511">
        <f t="shared" si="56"/>
        <v>3514987.2410714291</v>
      </c>
      <c r="G624" s="469">
        <f t="shared" si="57"/>
        <v>3562702.0000000005</v>
      </c>
      <c r="H624" s="506">
        <f>+J614*G624+E624</f>
        <v>629714.63775561599</v>
      </c>
      <c r="I624" s="512">
        <f>+J615*G624+E624</f>
        <v>629714.63775561599</v>
      </c>
      <c r="J624" s="509">
        <f t="shared" si="58"/>
        <v>0</v>
      </c>
      <c r="K624" s="509"/>
      <c r="L624" s="513">
        <v>633061</v>
      </c>
      <c r="M624" s="509">
        <f t="shared" si="59"/>
        <v>-3346.362244384014</v>
      </c>
      <c r="N624" s="513">
        <v>633061</v>
      </c>
      <c r="O624" s="509">
        <f t="shared" si="60"/>
        <v>-3346.362244384014</v>
      </c>
      <c r="P624" s="509">
        <f t="shared" si="61"/>
        <v>0</v>
      </c>
      <c r="Q624" s="471"/>
    </row>
    <row r="625" spans="3:17">
      <c r="C625" s="505">
        <f>IF(D613="","-",+C624+1)</f>
        <v>2019</v>
      </c>
      <c r="D625" s="941">
        <f t="shared" si="62"/>
        <v>3514987.2410714291</v>
      </c>
      <c r="E625" s="511">
        <f t="shared" si="63"/>
        <v>95429.517857142855</v>
      </c>
      <c r="F625" s="511">
        <f t="shared" si="56"/>
        <v>3419557.7232142864</v>
      </c>
      <c r="G625" s="469">
        <f t="shared" si="57"/>
        <v>3467272.4821428577</v>
      </c>
      <c r="H625" s="506">
        <f>+J614*G625+E625</f>
        <v>615403.42918690701</v>
      </c>
      <c r="I625" s="512">
        <f>+J615*G625+E625</f>
        <v>615403.42918690701</v>
      </c>
      <c r="J625" s="509">
        <f t="shared" si="58"/>
        <v>0</v>
      </c>
      <c r="K625" s="509"/>
      <c r="L625" s="513">
        <v>682446</v>
      </c>
      <c r="M625" s="509">
        <f t="shared" si="59"/>
        <v>-67042.570813092985</v>
      </c>
      <c r="N625" s="513">
        <v>682446</v>
      </c>
      <c r="O625" s="509">
        <f t="shared" si="60"/>
        <v>-67042.570813092985</v>
      </c>
      <c r="P625" s="509">
        <f t="shared" si="61"/>
        <v>0</v>
      </c>
      <c r="Q625" s="471"/>
    </row>
    <row r="626" spans="3:17">
      <c r="C626" s="505">
        <f>IF(D613="","-",+C625+1)</f>
        <v>2020</v>
      </c>
      <c r="D626" s="469">
        <f t="shared" si="62"/>
        <v>3419557.7232142864</v>
      </c>
      <c r="E626" s="511">
        <f t="shared" si="63"/>
        <v>95429.517857142855</v>
      </c>
      <c r="F626" s="511">
        <f t="shared" si="56"/>
        <v>3324128.2053571437</v>
      </c>
      <c r="G626" s="469">
        <f t="shared" si="57"/>
        <v>3371842.964285715</v>
      </c>
      <c r="H626" s="506">
        <f>+J614*G626+E626</f>
        <v>601092.22061819793</v>
      </c>
      <c r="I626" s="512">
        <f>+J615*G626+E626</f>
        <v>601092.22061819793</v>
      </c>
      <c r="J626" s="509">
        <f t="shared" si="58"/>
        <v>0</v>
      </c>
      <c r="K626" s="509"/>
      <c r="L626" s="513">
        <v>597310.8471863796</v>
      </c>
      <c r="M626" s="509">
        <f t="shared" si="59"/>
        <v>3781.3734318183269</v>
      </c>
      <c r="N626" s="513">
        <v>597310.8471863796</v>
      </c>
      <c r="O626" s="509">
        <f t="shared" si="60"/>
        <v>3781.3734318183269</v>
      </c>
      <c r="P626" s="509">
        <f t="shared" si="61"/>
        <v>0</v>
      </c>
      <c r="Q626" s="471"/>
    </row>
    <row r="627" spans="3:17">
      <c r="C627" s="505">
        <f>IF(D613="","-",+C626+1)</f>
        <v>2021</v>
      </c>
      <c r="D627" s="469">
        <f t="shared" si="62"/>
        <v>3324128.2053571437</v>
      </c>
      <c r="E627" s="511">
        <f t="shared" si="63"/>
        <v>95429.517857142855</v>
      </c>
      <c r="F627" s="511">
        <f t="shared" si="56"/>
        <v>3228698.6875000009</v>
      </c>
      <c r="G627" s="469">
        <f t="shared" si="57"/>
        <v>3276413.4464285723</v>
      </c>
      <c r="H627" s="506">
        <f>+J614*G627+E627</f>
        <v>586781.01204948884</v>
      </c>
      <c r="I627" s="512">
        <f>+J615*G627+E627</f>
        <v>586781.01204948884</v>
      </c>
      <c r="J627" s="509">
        <f t="shared" si="58"/>
        <v>0</v>
      </c>
      <c r="K627" s="509"/>
      <c r="L627" s="513">
        <v>565533.65505527263</v>
      </c>
      <c r="M627" s="509">
        <f t="shared" si="59"/>
        <v>21247.356994216214</v>
      </c>
      <c r="N627" s="513">
        <v>565533.65505527263</v>
      </c>
      <c r="O627" s="509">
        <f t="shared" si="60"/>
        <v>21247.356994216214</v>
      </c>
      <c r="P627" s="509">
        <f t="shared" si="61"/>
        <v>0</v>
      </c>
      <c r="Q627" s="471"/>
    </row>
    <row r="628" spans="3:17">
      <c r="C628" s="963">
        <f>IF(D613="","-",+C627+1)</f>
        <v>2022</v>
      </c>
      <c r="D628" s="469">
        <f t="shared" si="62"/>
        <v>3228698.6875000009</v>
      </c>
      <c r="E628" s="511">
        <f t="shared" si="63"/>
        <v>95429.517857142855</v>
      </c>
      <c r="F628" s="511">
        <f t="shared" si="56"/>
        <v>3133269.1696428582</v>
      </c>
      <c r="G628" s="469">
        <f t="shared" si="57"/>
        <v>3180983.9285714296</v>
      </c>
      <c r="H628" s="506">
        <f>+J614*G628+E628</f>
        <v>572469.80348077975</v>
      </c>
      <c r="I628" s="512">
        <f>+J615*G628+E628</f>
        <v>572469.80348077975</v>
      </c>
      <c r="J628" s="509">
        <f t="shared" si="58"/>
        <v>0</v>
      </c>
      <c r="K628" s="509"/>
      <c r="L628" s="513">
        <v>554757.32165258925</v>
      </c>
      <c r="M628" s="509">
        <f t="shared" si="59"/>
        <v>17712.481828190503</v>
      </c>
      <c r="N628" s="513">
        <v>554757.32165258925</v>
      </c>
      <c r="O628" s="509">
        <f t="shared" si="60"/>
        <v>17712.481828190503</v>
      </c>
      <c r="P628" s="509">
        <f t="shared" si="61"/>
        <v>0</v>
      </c>
      <c r="Q628" s="471"/>
    </row>
    <row r="629" spans="3:17">
      <c r="C629" s="505">
        <f>IF(D613="","-",+C628+1)</f>
        <v>2023</v>
      </c>
      <c r="D629" s="469">
        <f t="shared" si="62"/>
        <v>3133269.1696428582</v>
      </c>
      <c r="E629" s="511">
        <f t="shared" si="63"/>
        <v>95429.517857142855</v>
      </c>
      <c r="F629" s="511">
        <f t="shared" si="56"/>
        <v>3037839.6517857155</v>
      </c>
      <c r="G629" s="469">
        <f t="shared" si="57"/>
        <v>3085554.4107142868</v>
      </c>
      <c r="H629" s="506">
        <f>+J614*G629+E629</f>
        <v>558158.59491207066</v>
      </c>
      <c r="I629" s="512">
        <f>+J615*G629+E629</f>
        <v>558158.59491207066</v>
      </c>
      <c r="J629" s="509">
        <f t="shared" si="58"/>
        <v>0</v>
      </c>
      <c r="K629" s="509"/>
      <c r="L629" s="513">
        <v>562766.4000294148</v>
      </c>
      <c r="M629" s="509">
        <f t="shared" si="59"/>
        <v>-4607.8051173441345</v>
      </c>
      <c r="N629" s="513">
        <v>562766.4000294148</v>
      </c>
      <c r="O629" s="509">
        <f t="shared" si="60"/>
        <v>-4607.8051173441345</v>
      </c>
      <c r="P629" s="509">
        <f t="shared" si="61"/>
        <v>0</v>
      </c>
      <c r="Q629" s="471"/>
    </row>
    <row r="630" spans="3:17">
      <c r="C630" s="505">
        <f>IF(D613="","-",+C629+1)</f>
        <v>2024</v>
      </c>
      <c r="D630" s="469">
        <f t="shared" si="62"/>
        <v>3037839.6517857155</v>
      </c>
      <c r="E630" s="511">
        <f t="shared" si="63"/>
        <v>95429.517857142855</v>
      </c>
      <c r="F630" s="511">
        <f t="shared" si="56"/>
        <v>2942410.1339285728</v>
      </c>
      <c r="G630" s="469">
        <f t="shared" si="57"/>
        <v>2990124.8928571441</v>
      </c>
      <c r="H630" s="506">
        <f>+J614*G630+E630</f>
        <v>543847.38634336158</v>
      </c>
      <c r="I630" s="512">
        <f>+J615*G630+E630</f>
        <v>543847.38634336158</v>
      </c>
      <c r="J630" s="509">
        <f t="shared" si="58"/>
        <v>0</v>
      </c>
      <c r="K630" s="509"/>
      <c r="L630" s="513">
        <v>546185.68630061741</v>
      </c>
      <c r="M630" s="509">
        <f t="shared" si="59"/>
        <v>-2338.2999572558329</v>
      </c>
      <c r="N630" s="513">
        <v>546185.68630061741</v>
      </c>
      <c r="O630" s="509">
        <f t="shared" si="60"/>
        <v>-2338.2999572558329</v>
      </c>
      <c r="P630" s="509">
        <f t="shared" si="61"/>
        <v>0</v>
      </c>
      <c r="Q630" s="471"/>
    </row>
    <row r="631" spans="3:17">
      <c r="C631" s="505">
        <f>IF(D613="","-",+C630+1)</f>
        <v>2025</v>
      </c>
      <c r="D631" s="469">
        <f t="shared" si="62"/>
        <v>2942410.1339285728</v>
      </c>
      <c r="E631" s="511">
        <f t="shared" si="63"/>
        <v>95429.517857142855</v>
      </c>
      <c r="F631" s="511">
        <f t="shared" si="56"/>
        <v>2846980.61607143</v>
      </c>
      <c r="G631" s="469">
        <f t="shared" si="57"/>
        <v>2894695.3750000014</v>
      </c>
      <c r="H631" s="506">
        <f>+J614*G631+E631</f>
        <v>529536.17777465249</v>
      </c>
      <c r="I631" s="512">
        <f>+J615*G631+E631</f>
        <v>529536.17777465249</v>
      </c>
      <c r="J631" s="509">
        <f t="shared" si="58"/>
        <v>0</v>
      </c>
      <c r="K631" s="509"/>
      <c r="L631" s="513">
        <v>515862.01954132016</v>
      </c>
      <c r="M631" s="509">
        <f t="shared" si="59"/>
        <v>13674.158233332331</v>
      </c>
      <c r="N631" s="513">
        <v>515862.01954132016</v>
      </c>
      <c r="O631" s="509">
        <f t="shared" si="60"/>
        <v>13674.158233332331</v>
      </c>
      <c r="P631" s="509">
        <f t="shared" si="61"/>
        <v>0</v>
      </c>
      <c r="Q631" s="471"/>
    </row>
    <row r="632" spans="3:17">
      <c r="C632" s="505">
        <f>IF(D613="","-",+C631+1)</f>
        <v>2026</v>
      </c>
      <c r="D632" s="469">
        <f t="shared" si="62"/>
        <v>2846980.61607143</v>
      </c>
      <c r="E632" s="511">
        <f t="shared" si="63"/>
        <v>95429.517857142855</v>
      </c>
      <c r="F632" s="511">
        <f t="shared" si="56"/>
        <v>2751551.0982142873</v>
      </c>
      <c r="G632" s="469">
        <f t="shared" si="57"/>
        <v>2799265.8571428587</v>
      </c>
      <c r="H632" s="506">
        <f>+J614*G632+E632</f>
        <v>515224.9692059434</v>
      </c>
      <c r="I632" s="512">
        <f>+J615*G632+E632</f>
        <v>515224.9692059434</v>
      </c>
      <c r="J632" s="509">
        <f t="shared" si="58"/>
        <v>0</v>
      </c>
      <c r="K632" s="509"/>
      <c r="L632" s="513"/>
      <c r="M632" s="509">
        <f t="shared" si="59"/>
        <v>0</v>
      </c>
      <c r="N632" s="513"/>
      <c r="O632" s="509">
        <f t="shared" si="60"/>
        <v>0</v>
      </c>
      <c r="P632" s="509">
        <f t="shared" si="61"/>
        <v>0</v>
      </c>
      <c r="Q632" s="471"/>
    </row>
    <row r="633" spans="3:17">
      <c r="C633" s="505">
        <f>IF(D613="","-",+C632+1)</f>
        <v>2027</v>
      </c>
      <c r="D633" s="469">
        <f t="shared" si="62"/>
        <v>2751551.0982142873</v>
      </c>
      <c r="E633" s="511">
        <f t="shared" si="63"/>
        <v>95429.517857142855</v>
      </c>
      <c r="F633" s="511">
        <f t="shared" si="56"/>
        <v>2656121.5803571446</v>
      </c>
      <c r="G633" s="469">
        <f t="shared" si="57"/>
        <v>2703836.3392857159</v>
      </c>
      <c r="H633" s="506">
        <f>+J614*G633+E633</f>
        <v>500913.76063723431</v>
      </c>
      <c r="I633" s="512">
        <f>+J615*G633+E633</f>
        <v>500913.76063723431</v>
      </c>
      <c r="J633" s="509">
        <f t="shared" si="58"/>
        <v>0</v>
      </c>
      <c r="K633" s="509"/>
      <c r="L633" s="513"/>
      <c r="M633" s="509">
        <f t="shared" si="59"/>
        <v>0</v>
      </c>
      <c r="N633" s="513"/>
      <c r="O633" s="509">
        <f t="shared" si="60"/>
        <v>0</v>
      </c>
      <c r="P633" s="509">
        <f t="shared" si="61"/>
        <v>0</v>
      </c>
      <c r="Q633" s="471"/>
    </row>
    <row r="634" spans="3:17">
      <c r="C634" s="505">
        <f>IF(D613="","-",+C633+1)</f>
        <v>2028</v>
      </c>
      <c r="D634" s="469">
        <f t="shared" si="62"/>
        <v>2656121.5803571446</v>
      </c>
      <c r="E634" s="511">
        <f t="shared" si="63"/>
        <v>95429.517857142855</v>
      </c>
      <c r="F634" s="511">
        <f t="shared" si="56"/>
        <v>2560692.0625000019</v>
      </c>
      <c r="G634" s="469">
        <f t="shared" si="57"/>
        <v>2608406.8214285732</v>
      </c>
      <c r="H634" s="506">
        <f>+J614*G634+E634</f>
        <v>486602.55206852523</v>
      </c>
      <c r="I634" s="512">
        <f>+J615*G634+E634</f>
        <v>486602.55206852523</v>
      </c>
      <c r="J634" s="509">
        <f t="shared" si="58"/>
        <v>0</v>
      </c>
      <c r="K634" s="509"/>
      <c r="L634" s="513"/>
      <c r="M634" s="509">
        <f t="shared" si="59"/>
        <v>0</v>
      </c>
      <c r="N634" s="513"/>
      <c r="O634" s="509">
        <f t="shared" si="60"/>
        <v>0</v>
      </c>
      <c r="P634" s="509">
        <f t="shared" si="61"/>
        <v>0</v>
      </c>
      <c r="Q634" s="471"/>
    </row>
    <row r="635" spans="3:17">
      <c r="C635" s="505">
        <f>IF(D613="","-",+C634+1)</f>
        <v>2029</v>
      </c>
      <c r="D635" s="469">
        <f t="shared" si="62"/>
        <v>2560692.0625000019</v>
      </c>
      <c r="E635" s="511">
        <f t="shared" si="63"/>
        <v>95429.517857142855</v>
      </c>
      <c r="F635" s="511">
        <f t="shared" si="56"/>
        <v>2465262.5446428591</v>
      </c>
      <c r="G635" s="469">
        <f t="shared" si="57"/>
        <v>2512977.3035714305</v>
      </c>
      <c r="H635" s="506">
        <f>+J614*G635+E635</f>
        <v>472291.34349981614</v>
      </c>
      <c r="I635" s="512">
        <f>+J615*G635+E635</f>
        <v>472291.34349981614</v>
      </c>
      <c r="J635" s="509">
        <f t="shared" si="58"/>
        <v>0</v>
      </c>
      <c r="K635" s="509"/>
      <c r="L635" s="513"/>
      <c r="M635" s="509">
        <f t="shared" si="59"/>
        <v>0</v>
      </c>
      <c r="N635" s="513"/>
      <c r="O635" s="509">
        <f t="shared" si="60"/>
        <v>0</v>
      </c>
      <c r="P635" s="509">
        <f t="shared" si="61"/>
        <v>0</v>
      </c>
      <c r="Q635" s="471"/>
    </row>
    <row r="636" spans="3:17">
      <c r="C636" s="505">
        <f>IF(D613="","-",+C635+1)</f>
        <v>2030</v>
      </c>
      <c r="D636" s="469">
        <f t="shared" si="62"/>
        <v>2465262.5446428591</v>
      </c>
      <c r="E636" s="511">
        <f t="shared" si="63"/>
        <v>95429.517857142855</v>
      </c>
      <c r="F636" s="511">
        <f t="shared" si="56"/>
        <v>2369833.0267857164</v>
      </c>
      <c r="G636" s="469">
        <f t="shared" si="57"/>
        <v>2417547.7857142878</v>
      </c>
      <c r="H636" s="506">
        <f>+J614*G636+E636</f>
        <v>457980.13493110705</v>
      </c>
      <c r="I636" s="512">
        <f>+J615*G636+E636</f>
        <v>457980.13493110705</v>
      </c>
      <c r="J636" s="509">
        <f t="shared" si="58"/>
        <v>0</v>
      </c>
      <c r="K636" s="509"/>
      <c r="L636" s="513"/>
      <c r="M636" s="509">
        <f t="shared" si="59"/>
        <v>0</v>
      </c>
      <c r="N636" s="513"/>
      <c r="O636" s="509">
        <f t="shared" si="60"/>
        <v>0</v>
      </c>
      <c r="P636" s="509">
        <f t="shared" si="61"/>
        <v>0</v>
      </c>
      <c r="Q636" s="471"/>
    </row>
    <row r="637" spans="3:17">
      <c r="C637" s="505">
        <f>IF(D613="","-",+C636+1)</f>
        <v>2031</v>
      </c>
      <c r="D637" s="469">
        <f t="shared" si="62"/>
        <v>2369833.0267857164</v>
      </c>
      <c r="E637" s="511">
        <f t="shared" si="63"/>
        <v>95429.517857142855</v>
      </c>
      <c r="F637" s="511">
        <f t="shared" si="56"/>
        <v>2274403.5089285737</v>
      </c>
      <c r="G637" s="469">
        <f t="shared" si="57"/>
        <v>2322118.2678571451</v>
      </c>
      <c r="H637" s="506">
        <f>+J614*G637+E637</f>
        <v>443668.92636239796</v>
      </c>
      <c r="I637" s="512">
        <f>+J615*G637+E637</f>
        <v>443668.92636239796</v>
      </c>
      <c r="J637" s="509">
        <f t="shared" si="58"/>
        <v>0</v>
      </c>
      <c r="K637" s="509"/>
      <c r="L637" s="513"/>
      <c r="M637" s="509">
        <f t="shared" si="59"/>
        <v>0</v>
      </c>
      <c r="N637" s="513"/>
      <c r="O637" s="509">
        <f t="shared" si="60"/>
        <v>0</v>
      </c>
      <c r="P637" s="509">
        <f t="shared" si="61"/>
        <v>0</v>
      </c>
      <c r="Q637" s="471"/>
    </row>
    <row r="638" spans="3:17">
      <c r="C638" s="505">
        <f>IF(D613="","-",+C637+1)</f>
        <v>2032</v>
      </c>
      <c r="D638" s="469">
        <f t="shared" si="62"/>
        <v>2274403.5089285737</v>
      </c>
      <c r="E638" s="511">
        <f t="shared" si="63"/>
        <v>95429.517857142855</v>
      </c>
      <c r="F638" s="511">
        <f t="shared" si="56"/>
        <v>2178973.991071431</v>
      </c>
      <c r="G638" s="469">
        <f t="shared" si="57"/>
        <v>2226688.7500000023</v>
      </c>
      <c r="H638" s="506">
        <f>+J614*G638+E638</f>
        <v>429357.71779368888</v>
      </c>
      <c r="I638" s="512">
        <f>+J615*G638+E638</f>
        <v>429357.71779368888</v>
      </c>
      <c r="J638" s="509">
        <f t="shared" si="58"/>
        <v>0</v>
      </c>
      <c r="K638" s="509"/>
      <c r="L638" s="513"/>
      <c r="M638" s="509">
        <f t="shared" si="59"/>
        <v>0</v>
      </c>
      <c r="N638" s="513"/>
      <c r="O638" s="509">
        <f t="shared" si="60"/>
        <v>0</v>
      </c>
      <c r="P638" s="509">
        <f t="shared" si="61"/>
        <v>0</v>
      </c>
      <c r="Q638" s="471"/>
    </row>
    <row r="639" spans="3:17">
      <c r="C639" s="505">
        <f>IF(D613="","-",+C638+1)</f>
        <v>2033</v>
      </c>
      <c r="D639" s="469">
        <f t="shared" si="62"/>
        <v>2178973.991071431</v>
      </c>
      <c r="E639" s="511">
        <f t="shared" si="63"/>
        <v>95429.517857142855</v>
      </c>
      <c r="F639" s="511">
        <f t="shared" si="56"/>
        <v>2083544.473214288</v>
      </c>
      <c r="G639" s="469">
        <f t="shared" si="57"/>
        <v>2131259.2321428596</v>
      </c>
      <c r="H639" s="506">
        <f>+J614*G639+E639</f>
        <v>415046.50922497979</v>
      </c>
      <c r="I639" s="512">
        <f>+J615*G639+E639</f>
        <v>415046.50922497979</v>
      </c>
      <c r="J639" s="509">
        <f t="shared" si="58"/>
        <v>0</v>
      </c>
      <c r="K639" s="509"/>
      <c r="L639" s="513"/>
      <c r="M639" s="509">
        <f t="shared" si="59"/>
        <v>0</v>
      </c>
      <c r="N639" s="513"/>
      <c r="O639" s="509">
        <f t="shared" si="60"/>
        <v>0</v>
      </c>
      <c r="P639" s="509">
        <f t="shared" si="61"/>
        <v>0</v>
      </c>
      <c r="Q639" s="471"/>
    </row>
    <row r="640" spans="3:17">
      <c r="C640" s="505">
        <f>IF(D613="","-",+C639+1)</f>
        <v>2034</v>
      </c>
      <c r="D640" s="469">
        <f t="shared" si="62"/>
        <v>2083544.473214288</v>
      </c>
      <c r="E640" s="511">
        <f t="shared" si="63"/>
        <v>95429.517857142855</v>
      </c>
      <c r="F640" s="511">
        <f t="shared" si="56"/>
        <v>1988114.9553571451</v>
      </c>
      <c r="G640" s="469">
        <f t="shared" si="57"/>
        <v>2035829.7142857164</v>
      </c>
      <c r="H640" s="506">
        <f>+J614*G640+E640</f>
        <v>400735.30065627064</v>
      </c>
      <c r="I640" s="512">
        <f>+J615*G640+E640</f>
        <v>400735.30065627064</v>
      </c>
      <c r="J640" s="509">
        <f t="shared" si="58"/>
        <v>0</v>
      </c>
      <c r="K640" s="509"/>
      <c r="L640" s="513"/>
      <c r="M640" s="509">
        <f t="shared" si="59"/>
        <v>0</v>
      </c>
      <c r="N640" s="513"/>
      <c r="O640" s="509">
        <f t="shared" si="60"/>
        <v>0</v>
      </c>
      <c r="P640" s="509">
        <f t="shared" si="61"/>
        <v>0</v>
      </c>
      <c r="Q640" s="471"/>
    </row>
    <row r="641" spans="3:17">
      <c r="C641" s="505">
        <f>IF(D613="","-",+C640+1)</f>
        <v>2035</v>
      </c>
      <c r="D641" s="469">
        <f t="shared" si="62"/>
        <v>1988114.9553571451</v>
      </c>
      <c r="E641" s="511">
        <f t="shared" si="63"/>
        <v>95429.517857142855</v>
      </c>
      <c r="F641" s="511">
        <f t="shared" si="56"/>
        <v>1892685.4375000021</v>
      </c>
      <c r="G641" s="469">
        <f t="shared" si="57"/>
        <v>1940400.1964285737</v>
      </c>
      <c r="H641" s="506">
        <f>+J614*G641+E641</f>
        <v>386424.09208756156</v>
      </c>
      <c r="I641" s="512">
        <f>+J615*G641+E641</f>
        <v>386424.09208756156</v>
      </c>
      <c r="J641" s="509">
        <f t="shared" si="58"/>
        <v>0</v>
      </c>
      <c r="K641" s="509"/>
      <c r="L641" s="513"/>
      <c r="M641" s="509">
        <f t="shared" si="59"/>
        <v>0</v>
      </c>
      <c r="N641" s="513"/>
      <c r="O641" s="509">
        <f t="shared" si="60"/>
        <v>0</v>
      </c>
      <c r="P641" s="509">
        <f t="shared" si="61"/>
        <v>0</v>
      </c>
      <c r="Q641" s="471"/>
    </row>
    <row r="642" spans="3:17">
      <c r="C642" s="505">
        <f>IF(D613="","-",+C641+1)</f>
        <v>2036</v>
      </c>
      <c r="D642" s="469">
        <f t="shared" si="62"/>
        <v>1892685.4375000021</v>
      </c>
      <c r="E642" s="511">
        <f t="shared" si="63"/>
        <v>95429.517857142855</v>
      </c>
      <c r="F642" s="511">
        <f t="shared" si="56"/>
        <v>1797255.9196428591</v>
      </c>
      <c r="G642" s="469">
        <f t="shared" si="57"/>
        <v>1844970.6785714305</v>
      </c>
      <c r="H642" s="506">
        <f>+J614*G642+E642</f>
        <v>372112.88351885241</v>
      </c>
      <c r="I642" s="512">
        <f>+J615*G642+E642</f>
        <v>372112.88351885241</v>
      </c>
      <c r="J642" s="509">
        <f t="shared" si="58"/>
        <v>0</v>
      </c>
      <c r="K642" s="509"/>
      <c r="L642" s="513"/>
      <c r="M642" s="509">
        <f t="shared" si="59"/>
        <v>0</v>
      </c>
      <c r="N642" s="513"/>
      <c r="O642" s="509">
        <f t="shared" si="60"/>
        <v>0</v>
      </c>
      <c r="P642" s="509">
        <f t="shared" si="61"/>
        <v>0</v>
      </c>
      <c r="Q642" s="471"/>
    </row>
    <row r="643" spans="3:17">
      <c r="C643" s="505">
        <f>IF(D613="","-",+C642+1)</f>
        <v>2037</v>
      </c>
      <c r="D643" s="469">
        <f t="shared" si="62"/>
        <v>1797255.9196428591</v>
      </c>
      <c r="E643" s="511">
        <f t="shared" si="63"/>
        <v>95429.517857142855</v>
      </c>
      <c r="F643" s="511">
        <f t="shared" si="56"/>
        <v>1701826.4017857162</v>
      </c>
      <c r="G643" s="469">
        <f t="shared" si="57"/>
        <v>1749541.1607142878</v>
      </c>
      <c r="H643" s="506">
        <f>+J614*G643+E643</f>
        <v>357801.67495014332</v>
      </c>
      <c r="I643" s="512">
        <f>+J615*G643+E643</f>
        <v>357801.67495014332</v>
      </c>
      <c r="J643" s="509">
        <f t="shared" si="58"/>
        <v>0</v>
      </c>
      <c r="K643" s="509"/>
      <c r="L643" s="513"/>
      <c r="M643" s="509">
        <f t="shared" si="59"/>
        <v>0</v>
      </c>
      <c r="N643" s="513"/>
      <c r="O643" s="509">
        <f t="shared" si="60"/>
        <v>0</v>
      </c>
      <c r="P643" s="509">
        <f t="shared" si="61"/>
        <v>0</v>
      </c>
      <c r="Q643" s="471"/>
    </row>
    <row r="644" spans="3:17">
      <c r="C644" s="505">
        <f>IF(D613="","-",+C643+1)</f>
        <v>2038</v>
      </c>
      <c r="D644" s="469">
        <f t="shared" si="62"/>
        <v>1701826.4017857162</v>
      </c>
      <c r="E644" s="511">
        <f t="shared" si="63"/>
        <v>95429.517857142855</v>
      </c>
      <c r="F644" s="511">
        <f t="shared" si="56"/>
        <v>1606396.8839285732</v>
      </c>
      <c r="G644" s="469">
        <f t="shared" si="57"/>
        <v>1654111.6428571446</v>
      </c>
      <c r="H644" s="506">
        <f>+J614*G644+E644</f>
        <v>343490.46638143423</v>
      </c>
      <c r="I644" s="512">
        <f>+J615*G644+E644</f>
        <v>343490.46638143423</v>
      </c>
      <c r="J644" s="509">
        <f t="shared" si="58"/>
        <v>0</v>
      </c>
      <c r="K644" s="509"/>
      <c r="L644" s="513"/>
      <c r="M644" s="509">
        <f t="shared" si="59"/>
        <v>0</v>
      </c>
      <c r="N644" s="513"/>
      <c r="O644" s="509">
        <f t="shared" si="60"/>
        <v>0</v>
      </c>
      <c r="P644" s="509">
        <f t="shared" si="61"/>
        <v>0</v>
      </c>
      <c r="Q644" s="471"/>
    </row>
    <row r="645" spans="3:17">
      <c r="C645" s="505">
        <f>IF(D613="","-",+C644+1)</f>
        <v>2039</v>
      </c>
      <c r="D645" s="469">
        <f t="shared" si="62"/>
        <v>1606396.8839285732</v>
      </c>
      <c r="E645" s="511">
        <f t="shared" si="63"/>
        <v>95429.517857142855</v>
      </c>
      <c r="F645" s="511">
        <f t="shared" si="56"/>
        <v>1510967.3660714303</v>
      </c>
      <c r="G645" s="469">
        <f t="shared" si="57"/>
        <v>1558682.1250000019</v>
      </c>
      <c r="H645" s="506">
        <f>+J614*G645+E645</f>
        <v>329179.25781272515</v>
      </c>
      <c r="I645" s="512">
        <f>+J615*G645+E645</f>
        <v>329179.25781272515</v>
      </c>
      <c r="J645" s="509">
        <f t="shared" si="58"/>
        <v>0</v>
      </c>
      <c r="K645" s="509"/>
      <c r="L645" s="513"/>
      <c r="M645" s="509">
        <f t="shared" si="59"/>
        <v>0</v>
      </c>
      <c r="N645" s="513"/>
      <c r="O645" s="509">
        <f t="shared" si="60"/>
        <v>0</v>
      </c>
      <c r="P645" s="509">
        <f t="shared" si="61"/>
        <v>0</v>
      </c>
      <c r="Q645" s="471"/>
    </row>
    <row r="646" spans="3:17">
      <c r="C646" s="505">
        <f>IF(D613="","-",+C645+1)</f>
        <v>2040</v>
      </c>
      <c r="D646" s="469">
        <f t="shared" si="62"/>
        <v>1510967.3660714303</v>
      </c>
      <c r="E646" s="511">
        <f t="shared" si="63"/>
        <v>95429.517857142855</v>
      </c>
      <c r="F646" s="511">
        <f t="shared" si="56"/>
        <v>1415537.8482142873</v>
      </c>
      <c r="G646" s="469">
        <f t="shared" si="57"/>
        <v>1463252.6071428587</v>
      </c>
      <c r="H646" s="506">
        <f>+J614*G646+E646</f>
        <v>314868.049244016</v>
      </c>
      <c r="I646" s="512">
        <f>+J615*G646+E646</f>
        <v>314868.049244016</v>
      </c>
      <c r="J646" s="509">
        <f t="shared" si="58"/>
        <v>0</v>
      </c>
      <c r="K646" s="509"/>
      <c r="L646" s="513"/>
      <c r="M646" s="509">
        <f t="shared" si="59"/>
        <v>0</v>
      </c>
      <c r="N646" s="513"/>
      <c r="O646" s="509">
        <f t="shared" si="60"/>
        <v>0</v>
      </c>
      <c r="P646" s="509">
        <f t="shared" si="61"/>
        <v>0</v>
      </c>
      <c r="Q646" s="471"/>
    </row>
    <row r="647" spans="3:17">
      <c r="C647" s="505">
        <f>IF(D613="","-",+C646+1)</f>
        <v>2041</v>
      </c>
      <c r="D647" s="469">
        <f t="shared" si="62"/>
        <v>1415537.8482142873</v>
      </c>
      <c r="E647" s="511">
        <f t="shared" si="63"/>
        <v>95429.517857142855</v>
      </c>
      <c r="F647" s="511">
        <f t="shared" si="56"/>
        <v>1320108.3303571444</v>
      </c>
      <c r="G647" s="469">
        <f t="shared" si="57"/>
        <v>1367823.0892857159</v>
      </c>
      <c r="H647" s="506">
        <f>+J614*G647+E647</f>
        <v>300556.84067530691</v>
      </c>
      <c r="I647" s="512">
        <f>+J615*G647+E647</f>
        <v>300556.84067530691</v>
      </c>
      <c r="J647" s="509">
        <f t="shared" si="58"/>
        <v>0</v>
      </c>
      <c r="K647" s="509"/>
      <c r="L647" s="513"/>
      <c r="M647" s="509">
        <f t="shared" si="59"/>
        <v>0</v>
      </c>
      <c r="N647" s="513"/>
      <c r="O647" s="509">
        <f t="shared" si="60"/>
        <v>0</v>
      </c>
      <c r="P647" s="509">
        <f t="shared" si="61"/>
        <v>0</v>
      </c>
      <c r="Q647" s="471"/>
    </row>
    <row r="648" spans="3:17">
      <c r="C648" s="505">
        <f>IF(D613="","-",+C647+1)</f>
        <v>2042</v>
      </c>
      <c r="D648" s="469">
        <f t="shared" si="62"/>
        <v>1320108.3303571444</v>
      </c>
      <c r="E648" s="511">
        <f t="shared" si="63"/>
        <v>95429.517857142855</v>
      </c>
      <c r="F648" s="511">
        <f t="shared" si="56"/>
        <v>1224678.8125000014</v>
      </c>
      <c r="G648" s="469">
        <f t="shared" si="57"/>
        <v>1272393.5714285728</v>
      </c>
      <c r="H648" s="506">
        <f>+J614*G648+E648</f>
        <v>286245.63210659777</v>
      </c>
      <c r="I648" s="512">
        <f>+J615*G648+E648</f>
        <v>286245.63210659777</v>
      </c>
      <c r="J648" s="509">
        <f t="shared" si="58"/>
        <v>0</v>
      </c>
      <c r="K648" s="509"/>
      <c r="L648" s="513"/>
      <c r="M648" s="509">
        <f t="shared" si="59"/>
        <v>0</v>
      </c>
      <c r="N648" s="513"/>
      <c r="O648" s="509">
        <f t="shared" si="60"/>
        <v>0</v>
      </c>
      <c r="P648" s="509">
        <f t="shared" si="61"/>
        <v>0</v>
      </c>
      <c r="Q648" s="471"/>
    </row>
    <row r="649" spans="3:17">
      <c r="C649" s="505">
        <f>IF(D613="","-",+C648+1)</f>
        <v>2043</v>
      </c>
      <c r="D649" s="469">
        <f t="shared" si="62"/>
        <v>1224678.8125000014</v>
      </c>
      <c r="E649" s="511">
        <f t="shared" si="63"/>
        <v>95429.517857142855</v>
      </c>
      <c r="F649" s="511">
        <f t="shared" si="56"/>
        <v>1129249.2946428584</v>
      </c>
      <c r="G649" s="469">
        <f t="shared" si="57"/>
        <v>1176964.05357143</v>
      </c>
      <c r="H649" s="506">
        <f>+J614*G649+E649</f>
        <v>271934.42353788868</v>
      </c>
      <c r="I649" s="512">
        <f>+J615*G649+E649</f>
        <v>271934.42353788868</v>
      </c>
      <c r="J649" s="509">
        <f t="shared" si="58"/>
        <v>0</v>
      </c>
      <c r="K649" s="509"/>
      <c r="L649" s="513"/>
      <c r="M649" s="509">
        <f t="shared" si="59"/>
        <v>0</v>
      </c>
      <c r="N649" s="513"/>
      <c r="O649" s="509">
        <f t="shared" si="60"/>
        <v>0</v>
      </c>
      <c r="P649" s="509">
        <f t="shared" si="61"/>
        <v>0</v>
      </c>
      <c r="Q649" s="471"/>
    </row>
    <row r="650" spans="3:17">
      <c r="C650" s="505">
        <f>IF(D613="","-",+C649+1)</f>
        <v>2044</v>
      </c>
      <c r="D650" s="469">
        <f t="shared" si="62"/>
        <v>1129249.2946428584</v>
      </c>
      <c r="E650" s="511">
        <f t="shared" si="63"/>
        <v>95429.517857142855</v>
      </c>
      <c r="F650" s="511">
        <f t="shared" si="56"/>
        <v>1033819.7767857156</v>
      </c>
      <c r="G650" s="469">
        <f t="shared" si="57"/>
        <v>1081534.5357142871</v>
      </c>
      <c r="H650" s="506">
        <f>+J614*G650+E650</f>
        <v>257623.21496917953</v>
      </c>
      <c r="I650" s="512">
        <f>+J615*G650+E650</f>
        <v>257623.21496917953</v>
      </c>
      <c r="J650" s="509">
        <f t="shared" si="58"/>
        <v>0</v>
      </c>
      <c r="K650" s="509"/>
      <c r="L650" s="513"/>
      <c r="M650" s="509">
        <f t="shared" si="59"/>
        <v>0</v>
      </c>
      <c r="N650" s="513"/>
      <c r="O650" s="509">
        <f t="shared" si="60"/>
        <v>0</v>
      </c>
      <c r="P650" s="509">
        <f t="shared" si="61"/>
        <v>0</v>
      </c>
      <c r="Q650" s="471"/>
    </row>
    <row r="651" spans="3:17">
      <c r="C651" s="505">
        <f>IF(D613="","-",+C650+1)</f>
        <v>2045</v>
      </c>
      <c r="D651" s="469">
        <f t="shared" si="62"/>
        <v>1033819.7767857156</v>
      </c>
      <c r="E651" s="511">
        <f t="shared" si="63"/>
        <v>95429.517857142855</v>
      </c>
      <c r="F651" s="511">
        <f t="shared" si="56"/>
        <v>938390.25892857276</v>
      </c>
      <c r="G651" s="469">
        <f t="shared" si="57"/>
        <v>986105.01785714412</v>
      </c>
      <c r="H651" s="506">
        <f>+J614*G651+E651</f>
        <v>243312.00640047045</v>
      </c>
      <c r="I651" s="512">
        <f>+J615*G651+E651</f>
        <v>243312.00640047045</v>
      </c>
      <c r="J651" s="509">
        <f t="shared" si="58"/>
        <v>0</v>
      </c>
      <c r="K651" s="509"/>
      <c r="L651" s="513"/>
      <c r="M651" s="509">
        <f t="shared" si="59"/>
        <v>0</v>
      </c>
      <c r="N651" s="513"/>
      <c r="O651" s="509">
        <f t="shared" si="60"/>
        <v>0</v>
      </c>
      <c r="P651" s="509">
        <f t="shared" si="61"/>
        <v>0</v>
      </c>
      <c r="Q651" s="471"/>
    </row>
    <row r="652" spans="3:17">
      <c r="C652" s="505">
        <f>IF(D613="","-",+C651+1)</f>
        <v>2046</v>
      </c>
      <c r="D652" s="469">
        <f t="shared" si="62"/>
        <v>938390.25892857276</v>
      </c>
      <c r="E652" s="511">
        <f t="shared" si="63"/>
        <v>95429.517857142855</v>
      </c>
      <c r="F652" s="511">
        <f t="shared" si="56"/>
        <v>842960.74107142992</v>
      </c>
      <c r="G652" s="469">
        <f t="shared" si="57"/>
        <v>890675.5000000014</v>
      </c>
      <c r="H652" s="506">
        <f>+J614*G652+E652</f>
        <v>229000.79783176136</v>
      </c>
      <c r="I652" s="512">
        <f>+J615*G652+E652</f>
        <v>229000.79783176136</v>
      </c>
      <c r="J652" s="509">
        <f t="shared" si="58"/>
        <v>0</v>
      </c>
      <c r="K652" s="509"/>
      <c r="L652" s="513"/>
      <c r="M652" s="509">
        <f t="shared" si="59"/>
        <v>0</v>
      </c>
      <c r="N652" s="513"/>
      <c r="O652" s="509">
        <f t="shared" si="60"/>
        <v>0</v>
      </c>
      <c r="P652" s="509">
        <f t="shared" si="61"/>
        <v>0</v>
      </c>
      <c r="Q652" s="471"/>
    </row>
    <row r="653" spans="3:17">
      <c r="C653" s="505">
        <f>IF(D613="","-",+C652+1)</f>
        <v>2047</v>
      </c>
      <c r="D653" s="469">
        <f t="shared" si="62"/>
        <v>842960.74107142992</v>
      </c>
      <c r="E653" s="511">
        <f t="shared" si="63"/>
        <v>95429.517857142855</v>
      </c>
      <c r="F653" s="511">
        <f t="shared" si="56"/>
        <v>747531.22321428708</v>
      </c>
      <c r="G653" s="469">
        <f t="shared" si="57"/>
        <v>795245.98214285844</v>
      </c>
      <c r="H653" s="506">
        <f>+J614*G653+E653</f>
        <v>214689.58926305221</v>
      </c>
      <c r="I653" s="512">
        <f>+J615*G653+E653</f>
        <v>214689.58926305221</v>
      </c>
      <c r="J653" s="509">
        <f t="shared" si="58"/>
        <v>0</v>
      </c>
      <c r="K653" s="509"/>
      <c r="L653" s="513"/>
      <c r="M653" s="509">
        <f t="shared" si="59"/>
        <v>0</v>
      </c>
      <c r="N653" s="513"/>
      <c r="O653" s="509">
        <f t="shared" si="60"/>
        <v>0</v>
      </c>
      <c r="P653" s="509">
        <f t="shared" si="61"/>
        <v>0</v>
      </c>
      <c r="Q653" s="471"/>
    </row>
    <row r="654" spans="3:17">
      <c r="C654" s="505">
        <f>IF(D613="","-",+C653+1)</f>
        <v>2048</v>
      </c>
      <c r="D654" s="469">
        <f t="shared" si="62"/>
        <v>747531.22321428708</v>
      </c>
      <c r="E654" s="511">
        <f t="shared" si="63"/>
        <v>95429.517857142855</v>
      </c>
      <c r="F654" s="511">
        <f t="shared" si="56"/>
        <v>652101.70535714424</v>
      </c>
      <c r="G654" s="469">
        <f t="shared" si="57"/>
        <v>699816.46428571572</v>
      </c>
      <c r="H654" s="506">
        <f>+J614*G654+E654</f>
        <v>200378.38069434313</v>
      </c>
      <c r="I654" s="512">
        <f>+J615*G654+E654</f>
        <v>200378.38069434313</v>
      </c>
      <c r="J654" s="509">
        <f t="shared" si="58"/>
        <v>0</v>
      </c>
      <c r="K654" s="509"/>
      <c r="L654" s="513"/>
      <c r="M654" s="509">
        <f t="shared" si="59"/>
        <v>0</v>
      </c>
      <c r="N654" s="513"/>
      <c r="O654" s="509">
        <f t="shared" si="60"/>
        <v>0</v>
      </c>
      <c r="P654" s="509">
        <f t="shared" si="61"/>
        <v>0</v>
      </c>
      <c r="Q654" s="471"/>
    </row>
    <row r="655" spans="3:17">
      <c r="C655" s="505">
        <f>IF(D613="","-",+C654+1)</f>
        <v>2049</v>
      </c>
      <c r="D655" s="469">
        <f t="shared" si="62"/>
        <v>652101.70535714424</v>
      </c>
      <c r="E655" s="511">
        <f t="shared" si="63"/>
        <v>95429.517857142855</v>
      </c>
      <c r="F655" s="511">
        <f t="shared" si="56"/>
        <v>556672.1875000014</v>
      </c>
      <c r="G655" s="469">
        <f t="shared" si="57"/>
        <v>604386.94642857276</v>
      </c>
      <c r="H655" s="506">
        <f>+J614*G655+E655</f>
        <v>186067.17212563404</v>
      </c>
      <c r="I655" s="512">
        <f>+J615*G655+E655</f>
        <v>186067.17212563404</v>
      </c>
      <c r="J655" s="509">
        <f t="shared" si="58"/>
        <v>0</v>
      </c>
      <c r="K655" s="509"/>
      <c r="L655" s="513"/>
      <c r="M655" s="509">
        <f t="shared" si="59"/>
        <v>0</v>
      </c>
      <c r="N655" s="513"/>
      <c r="O655" s="509">
        <f t="shared" si="60"/>
        <v>0</v>
      </c>
      <c r="P655" s="509">
        <f t="shared" si="61"/>
        <v>0</v>
      </c>
      <c r="Q655" s="471"/>
    </row>
    <row r="656" spans="3:17">
      <c r="C656" s="505">
        <f>IF(D613="","-",+C655+1)</f>
        <v>2050</v>
      </c>
      <c r="D656" s="469">
        <f t="shared" si="62"/>
        <v>556672.1875000014</v>
      </c>
      <c r="E656" s="511">
        <f t="shared" si="63"/>
        <v>95429.517857142855</v>
      </c>
      <c r="F656" s="511">
        <f t="shared" si="56"/>
        <v>461242.66964285856</v>
      </c>
      <c r="G656" s="469">
        <f t="shared" si="57"/>
        <v>508957.42857142998</v>
      </c>
      <c r="H656" s="506">
        <f>+J614*G656+E656</f>
        <v>171755.96355692495</v>
      </c>
      <c r="I656" s="512">
        <f>+J615*G656+E656</f>
        <v>171755.96355692495</v>
      </c>
      <c r="J656" s="509">
        <f t="shared" si="58"/>
        <v>0</v>
      </c>
      <c r="K656" s="509"/>
      <c r="L656" s="513"/>
      <c r="M656" s="509">
        <f t="shared" si="59"/>
        <v>0</v>
      </c>
      <c r="N656" s="513"/>
      <c r="O656" s="509">
        <f t="shared" si="60"/>
        <v>0</v>
      </c>
      <c r="P656" s="509">
        <f t="shared" si="61"/>
        <v>0</v>
      </c>
      <c r="Q656" s="471"/>
    </row>
    <row r="657" spans="3:17">
      <c r="C657" s="505">
        <f>IF(D613="","-",+C656+1)</f>
        <v>2051</v>
      </c>
      <c r="D657" s="469">
        <f t="shared" si="62"/>
        <v>461242.66964285856</v>
      </c>
      <c r="E657" s="511">
        <f t="shared" si="63"/>
        <v>95429.517857142855</v>
      </c>
      <c r="F657" s="511">
        <f t="shared" si="56"/>
        <v>365813.15178571572</v>
      </c>
      <c r="G657" s="469">
        <f t="shared" si="57"/>
        <v>413527.91071428714</v>
      </c>
      <c r="H657" s="506">
        <f>+J614*G657+E657</f>
        <v>157444.75498821583</v>
      </c>
      <c r="I657" s="512">
        <f>+J615*G657+E657</f>
        <v>157444.75498821583</v>
      </c>
      <c r="J657" s="509">
        <f t="shared" si="58"/>
        <v>0</v>
      </c>
      <c r="K657" s="509"/>
      <c r="L657" s="513"/>
      <c r="M657" s="509">
        <f t="shared" si="59"/>
        <v>0</v>
      </c>
      <c r="N657" s="513"/>
      <c r="O657" s="509">
        <f t="shared" si="60"/>
        <v>0</v>
      </c>
      <c r="P657" s="509">
        <f t="shared" si="61"/>
        <v>0</v>
      </c>
      <c r="Q657" s="471"/>
    </row>
    <row r="658" spans="3:17">
      <c r="C658" s="505">
        <f>IF(D613="","-",+C657+1)</f>
        <v>2052</v>
      </c>
      <c r="D658" s="469">
        <f t="shared" si="62"/>
        <v>365813.15178571572</v>
      </c>
      <c r="E658" s="511">
        <f t="shared" si="63"/>
        <v>95429.517857142855</v>
      </c>
      <c r="F658" s="511">
        <f t="shared" si="56"/>
        <v>270383.63392857288</v>
      </c>
      <c r="G658" s="469">
        <f t="shared" si="57"/>
        <v>318098.3928571443</v>
      </c>
      <c r="H658" s="506">
        <f>+J614*G658+E658</f>
        <v>143133.54641950675</v>
      </c>
      <c r="I658" s="512">
        <f>+J615*G658+E658</f>
        <v>143133.54641950675</v>
      </c>
      <c r="J658" s="509">
        <f t="shared" si="58"/>
        <v>0</v>
      </c>
      <c r="K658" s="509"/>
      <c r="L658" s="513"/>
      <c r="M658" s="509">
        <f t="shared" si="59"/>
        <v>0</v>
      </c>
      <c r="N658" s="513"/>
      <c r="O658" s="509">
        <f t="shared" si="60"/>
        <v>0</v>
      </c>
      <c r="P658" s="509">
        <f t="shared" si="61"/>
        <v>0</v>
      </c>
      <c r="Q658" s="471"/>
    </row>
    <row r="659" spans="3:17">
      <c r="C659" s="505">
        <f>IF(D613="","-",+C658+1)</f>
        <v>2053</v>
      </c>
      <c r="D659" s="469">
        <f t="shared" si="62"/>
        <v>270383.63392857288</v>
      </c>
      <c r="E659" s="511">
        <f t="shared" si="63"/>
        <v>95429.517857142855</v>
      </c>
      <c r="F659" s="511">
        <f t="shared" si="56"/>
        <v>174954.11607143003</v>
      </c>
      <c r="G659" s="469">
        <f t="shared" si="57"/>
        <v>222668.87500000146</v>
      </c>
      <c r="H659" s="506">
        <f>+J614*G659+E659</f>
        <v>128822.33785079764</v>
      </c>
      <c r="I659" s="512">
        <f>+J615*G659+E659</f>
        <v>128822.33785079764</v>
      </c>
      <c r="J659" s="509">
        <f t="shared" si="58"/>
        <v>0</v>
      </c>
      <c r="K659" s="509"/>
      <c r="L659" s="513"/>
      <c r="M659" s="509">
        <f t="shared" si="59"/>
        <v>0</v>
      </c>
      <c r="N659" s="513"/>
      <c r="O659" s="509">
        <f t="shared" si="60"/>
        <v>0</v>
      </c>
      <c r="P659" s="509">
        <f t="shared" si="61"/>
        <v>0</v>
      </c>
      <c r="Q659" s="471"/>
    </row>
    <row r="660" spans="3:17">
      <c r="C660" s="505">
        <f>IF(D613="","-",+C659+1)</f>
        <v>2054</v>
      </c>
      <c r="D660" s="469">
        <f t="shared" si="62"/>
        <v>174954.11607143003</v>
      </c>
      <c r="E660" s="511">
        <f t="shared" si="63"/>
        <v>95429.517857142855</v>
      </c>
      <c r="F660" s="511">
        <f t="shared" si="56"/>
        <v>79524.59821428718</v>
      </c>
      <c r="G660" s="469">
        <f t="shared" si="57"/>
        <v>127239.35714285861</v>
      </c>
      <c r="H660" s="506">
        <f>+J614*G660+E660</f>
        <v>114511.12928208854</v>
      </c>
      <c r="I660" s="512">
        <f>+J615*G660+E660</f>
        <v>114511.12928208854</v>
      </c>
      <c r="J660" s="509">
        <f t="shared" si="58"/>
        <v>0</v>
      </c>
      <c r="K660" s="509"/>
      <c r="L660" s="513"/>
      <c r="M660" s="509">
        <f t="shared" si="59"/>
        <v>0</v>
      </c>
      <c r="N660" s="513"/>
      <c r="O660" s="509">
        <f t="shared" si="60"/>
        <v>0</v>
      </c>
      <c r="P660" s="509">
        <f t="shared" si="61"/>
        <v>0</v>
      </c>
      <c r="Q660" s="471"/>
    </row>
    <row r="661" spans="3:17">
      <c r="C661" s="505">
        <f>IF(D613="","-",+C660+1)</f>
        <v>2055</v>
      </c>
      <c r="D661" s="469">
        <f t="shared" si="62"/>
        <v>79524.59821428718</v>
      </c>
      <c r="E661" s="511">
        <f t="shared" si="63"/>
        <v>79524.59821428718</v>
      </c>
      <c r="F661" s="511">
        <f t="shared" si="56"/>
        <v>0</v>
      </c>
      <c r="G661" s="469">
        <f t="shared" si="57"/>
        <v>39762.29910714359</v>
      </c>
      <c r="H661" s="506">
        <f>+J614*G661+E661</f>
        <v>85487.601784582745</v>
      </c>
      <c r="I661" s="512">
        <f>+J615*G661+E661</f>
        <v>85487.601784582745</v>
      </c>
      <c r="J661" s="509">
        <f t="shared" si="58"/>
        <v>0</v>
      </c>
      <c r="K661" s="509"/>
      <c r="L661" s="513"/>
      <c r="M661" s="509">
        <f t="shared" si="59"/>
        <v>0</v>
      </c>
      <c r="N661" s="513"/>
      <c r="O661" s="509">
        <f t="shared" si="60"/>
        <v>0</v>
      </c>
      <c r="P661" s="509">
        <f t="shared" si="61"/>
        <v>0</v>
      </c>
      <c r="Q661" s="471"/>
    </row>
    <row r="662" spans="3:17">
      <c r="C662" s="505">
        <f>IF(D613="","-",+C661+1)</f>
        <v>2056</v>
      </c>
      <c r="D662" s="469">
        <f t="shared" si="62"/>
        <v>0</v>
      </c>
      <c r="E662" s="511">
        <f t="shared" si="63"/>
        <v>0</v>
      </c>
      <c r="F662" s="511">
        <f t="shared" si="56"/>
        <v>0</v>
      </c>
      <c r="G662" s="469">
        <f t="shared" si="57"/>
        <v>0</v>
      </c>
      <c r="H662" s="506">
        <f>+J614*G662+E662</f>
        <v>0</v>
      </c>
      <c r="I662" s="512">
        <f>+J615*G662+E662</f>
        <v>0</v>
      </c>
      <c r="J662" s="509">
        <f t="shared" si="58"/>
        <v>0</v>
      </c>
      <c r="K662" s="509"/>
      <c r="L662" s="513"/>
      <c r="M662" s="509">
        <f t="shared" si="59"/>
        <v>0</v>
      </c>
      <c r="N662" s="513"/>
      <c r="O662" s="509">
        <f t="shared" si="60"/>
        <v>0</v>
      </c>
      <c r="P662" s="509">
        <f t="shared" si="61"/>
        <v>0</v>
      </c>
      <c r="Q662" s="471"/>
    </row>
    <row r="663" spans="3:17">
      <c r="C663" s="505">
        <f>IF(D613="","-",+C662+1)</f>
        <v>2057</v>
      </c>
      <c r="D663" s="469">
        <f t="shared" si="62"/>
        <v>0</v>
      </c>
      <c r="E663" s="511">
        <f t="shared" si="63"/>
        <v>0</v>
      </c>
      <c r="F663" s="511">
        <f t="shared" si="56"/>
        <v>0</v>
      </c>
      <c r="G663" s="469">
        <f t="shared" si="57"/>
        <v>0</v>
      </c>
      <c r="H663" s="506">
        <f>+J614*G663+E663</f>
        <v>0</v>
      </c>
      <c r="I663" s="512">
        <f>+J615*G663+E663</f>
        <v>0</v>
      </c>
      <c r="J663" s="509">
        <f t="shared" si="58"/>
        <v>0</v>
      </c>
      <c r="K663" s="509"/>
      <c r="L663" s="513"/>
      <c r="M663" s="509">
        <f t="shared" si="59"/>
        <v>0</v>
      </c>
      <c r="N663" s="513"/>
      <c r="O663" s="509">
        <f t="shared" si="60"/>
        <v>0</v>
      </c>
      <c r="P663" s="509">
        <f t="shared" si="61"/>
        <v>0</v>
      </c>
      <c r="Q663" s="471"/>
    </row>
    <row r="664" spans="3:17">
      <c r="C664" s="505">
        <f>IF(D613="","-",+C663+1)</f>
        <v>2058</v>
      </c>
      <c r="D664" s="469">
        <f t="shared" si="62"/>
        <v>0</v>
      </c>
      <c r="E664" s="511">
        <f t="shared" si="63"/>
        <v>0</v>
      </c>
      <c r="F664" s="511">
        <f t="shared" si="56"/>
        <v>0</v>
      </c>
      <c r="G664" s="469">
        <f t="shared" si="57"/>
        <v>0</v>
      </c>
      <c r="H664" s="506">
        <f>+J614*G664+E664</f>
        <v>0</v>
      </c>
      <c r="I664" s="512">
        <f>+J615*G664+E664</f>
        <v>0</v>
      </c>
      <c r="J664" s="509">
        <f t="shared" si="58"/>
        <v>0</v>
      </c>
      <c r="K664" s="509"/>
      <c r="L664" s="513"/>
      <c r="M664" s="509">
        <f t="shared" si="59"/>
        <v>0</v>
      </c>
      <c r="N664" s="513"/>
      <c r="O664" s="509">
        <f t="shared" si="60"/>
        <v>0</v>
      </c>
      <c r="P664" s="509">
        <f t="shared" si="61"/>
        <v>0</v>
      </c>
      <c r="Q664" s="471"/>
    </row>
    <row r="665" spans="3:17">
      <c r="C665" s="505">
        <f>IF(D613="","-",+C664+1)</f>
        <v>2059</v>
      </c>
      <c r="D665" s="469">
        <f t="shared" si="62"/>
        <v>0</v>
      </c>
      <c r="E665" s="511">
        <f t="shared" si="63"/>
        <v>0</v>
      </c>
      <c r="F665" s="511">
        <f t="shared" si="56"/>
        <v>0</v>
      </c>
      <c r="G665" s="469">
        <f t="shared" si="57"/>
        <v>0</v>
      </c>
      <c r="H665" s="506">
        <f>+J614*G665+E665</f>
        <v>0</v>
      </c>
      <c r="I665" s="512">
        <f>+J615*G665+E665</f>
        <v>0</v>
      </c>
      <c r="J665" s="509">
        <f t="shared" si="58"/>
        <v>0</v>
      </c>
      <c r="K665" s="509"/>
      <c r="L665" s="513"/>
      <c r="M665" s="509">
        <f t="shared" si="59"/>
        <v>0</v>
      </c>
      <c r="N665" s="513"/>
      <c r="O665" s="509">
        <f t="shared" si="60"/>
        <v>0</v>
      </c>
      <c r="P665" s="509">
        <f t="shared" si="61"/>
        <v>0</v>
      </c>
      <c r="Q665" s="471"/>
    </row>
    <row r="666" spans="3:17">
      <c r="C666" s="505">
        <f>IF(D613="","-",+C665+1)</f>
        <v>2060</v>
      </c>
      <c r="D666" s="469">
        <f t="shared" si="62"/>
        <v>0</v>
      </c>
      <c r="E666" s="511">
        <f t="shared" si="63"/>
        <v>0</v>
      </c>
      <c r="F666" s="511">
        <f t="shared" si="56"/>
        <v>0</v>
      </c>
      <c r="G666" s="469">
        <f t="shared" si="57"/>
        <v>0</v>
      </c>
      <c r="H666" s="506">
        <f>+J614*G666+E666</f>
        <v>0</v>
      </c>
      <c r="I666" s="512">
        <f>+J615*G666+E666</f>
        <v>0</v>
      </c>
      <c r="J666" s="509">
        <f t="shared" si="58"/>
        <v>0</v>
      </c>
      <c r="K666" s="509"/>
      <c r="L666" s="513"/>
      <c r="M666" s="509">
        <f t="shared" si="59"/>
        <v>0</v>
      </c>
      <c r="N666" s="513"/>
      <c r="O666" s="509">
        <f t="shared" si="60"/>
        <v>0</v>
      </c>
      <c r="P666" s="509">
        <f t="shared" si="61"/>
        <v>0</v>
      </c>
      <c r="Q666" s="471"/>
    </row>
    <row r="667" spans="3:17">
      <c r="C667" s="505">
        <f>IF(D613="","-",+C666+1)</f>
        <v>2061</v>
      </c>
      <c r="D667" s="469">
        <f t="shared" si="62"/>
        <v>0</v>
      </c>
      <c r="E667" s="511">
        <f t="shared" si="63"/>
        <v>0</v>
      </c>
      <c r="F667" s="511">
        <f t="shared" si="56"/>
        <v>0</v>
      </c>
      <c r="G667" s="469">
        <f t="shared" si="57"/>
        <v>0</v>
      </c>
      <c r="H667" s="506">
        <f>+J614*G667+E667</f>
        <v>0</v>
      </c>
      <c r="I667" s="512">
        <f>+J615*G667+E667</f>
        <v>0</v>
      </c>
      <c r="J667" s="509">
        <f t="shared" si="58"/>
        <v>0</v>
      </c>
      <c r="K667" s="509"/>
      <c r="L667" s="513"/>
      <c r="M667" s="509">
        <f t="shared" si="59"/>
        <v>0</v>
      </c>
      <c r="N667" s="513"/>
      <c r="O667" s="509">
        <f t="shared" si="60"/>
        <v>0</v>
      </c>
      <c r="P667" s="509">
        <f t="shared" si="61"/>
        <v>0</v>
      </c>
      <c r="Q667" s="471"/>
    </row>
    <row r="668" spans="3:17">
      <c r="C668" s="505">
        <f>IF(D613="","-",+C667+1)</f>
        <v>2062</v>
      </c>
      <c r="D668" s="469">
        <f t="shared" si="62"/>
        <v>0</v>
      </c>
      <c r="E668" s="511">
        <f t="shared" si="63"/>
        <v>0</v>
      </c>
      <c r="F668" s="511">
        <f t="shared" si="56"/>
        <v>0</v>
      </c>
      <c r="G668" s="469">
        <f t="shared" si="57"/>
        <v>0</v>
      </c>
      <c r="H668" s="506">
        <f>+J614*G668+E668</f>
        <v>0</v>
      </c>
      <c r="I668" s="512">
        <f>+J615*G668+E668</f>
        <v>0</v>
      </c>
      <c r="J668" s="509">
        <f t="shared" si="58"/>
        <v>0</v>
      </c>
      <c r="K668" s="509"/>
      <c r="L668" s="513"/>
      <c r="M668" s="509">
        <f t="shared" si="59"/>
        <v>0</v>
      </c>
      <c r="N668" s="513"/>
      <c r="O668" s="509">
        <f t="shared" si="60"/>
        <v>0</v>
      </c>
      <c r="P668" s="509">
        <f t="shared" si="61"/>
        <v>0</v>
      </c>
      <c r="Q668" s="471"/>
    </row>
    <row r="669" spans="3:17">
      <c r="C669" s="505">
        <f>IF(D613="","-",+C668+1)</f>
        <v>2063</v>
      </c>
      <c r="D669" s="469">
        <f t="shared" si="62"/>
        <v>0</v>
      </c>
      <c r="E669" s="511">
        <f t="shared" si="63"/>
        <v>0</v>
      </c>
      <c r="F669" s="511">
        <f t="shared" si="56"/>
        <v>0</v>
      </c>
      <c r="G669" s="469">
        <f t="shared" si="57"/>
        <v>0</v>
      </c>
      <c r="H669" s="506">
        <f>+J614*G669+E669</f>
        <v>0</v>
      </c>
      <c r="I669" s="512">
        <f>+J615*G669+E669</f>
        <v>0</v>
      </c>
      <c r="J669" s="509">
        <f t="shared" si="58"/>
        <v>0</v>
      </c>
      <c r="K669" s="509"/>
      <c r="L669" s="513"/>
      <c r="M669" s="509">
        <f t="shared" si="59"/>
        <v>0</v>
      </c>
      <c r="N669" s="513"/>
      <c r="O669" s="509">
        <f t="shared" si="60"/>
        <v>0</v>
      </c>
      <c r="P669" s="509">
        <f t="shared" si="61"/>
        <v>0</v>
      </c>
      <c r="Q669" s="471"/>
    </row>
    <row r="670" spans="3:17">
      <c r="C670" s="505">
        <f>IF(D613="","-",+C669+1)</f>
        <v>2064</v>
      </c>
      <c r="D670" s="469">
        <f t="shared" si="62"/>
        <v>0</v>
      </c>
      <c r="E670" s="511">
        <f t="shared" si="63"/>
        <v>0</v>
      </c>
      <c r="F670" s="511">
        <f t="shared" si="56"/>
        <v>0</v>
      </c>
      <c r="G670" s="469">
        <f t="shared" si="57"/>
        <v>0</v>
      </c>
      <c r="H670" s="506">
        <f>+J614*G670+E670</f>
        <v>0</v>
      </c>
      <c r="I670" s="512">
        <f>+J615*G670+E670</f>
        <v>0</v>
      </c>
      <c r="J670" s="509">
        <f t="shared" si="58"/>
        <v>0</v>
      </c>
      <c r="K670" s="509"/>
      <c r="L670" s="513"/>
      <c r="M670" s="509">
        <f t="shared" si="59"/>
        <v>0</v>
      </c>
      <c r="N670" s="513"/>
      <c r="O670" s="509">
        <f t="shared" si="60"/>
        <v>0</v>
      </c>
      <c r="P670" s="509">
        <f t="shared" si="61"/>
        <v>0</v>
      </c>
      <c r="Q670" s="471"/>
    </row>
    <row r="671" spans="3:17">
      <c r="C671" s="505">
        <f>IF(D613="","-",+C670+1)</f>
        <v>2065</v>
      </c>
      <c r="D671" s="469">
        <f t="shared" si="62"/>
        <v>0</v>
      </c>
      <c r="E671" s="511">
        <f t="shared" si="63"/>
        <v>0</v>
      </c>
      <c r="F671" s="511">
        <f t="shared" si="56"/>
        <v>0</v>
      </c>
      <c r="G671" s="469">
        <f t="shared" si="57"/>
        <v>0</v>
      </c>
      <c r="H671" s="506">
        <f>+J614*G671+E671</f>
        <v>0</v>
      </c>
      <c r="I671" s="512">
        <f>+J615*G671+E671</f>
        <v>0</v>
      </c>
      <c r="J671" s="509">
        <f t="shared" si="58"/>
        <v>0</v>
      </c>
      <c r="K671" s="509"/>
      <c r="L671" s="513"/>
      <c r="M671" s="509">
        <f t="shared" si="59"/>
        <v>0</v>
      </c>
      <c r="N671" s="513"/>
      <c r="O671" s="509">
        <f t="shared" si="60"/>
        <v>0</v>
      </c>
      <c r="P671" s="509">
        <f t="shared" si="61"/>
        <v>0</v>
      </c>
      <c r="Q671" s="471"/>
    </row>
    <row r="672" spans="3:17">
      <c r="C672" s="505">
        <f>IF(D613="","-",+C671+1)</f>
        <v>2066</v>
      </c>
      <c r="D672" s="469">
        <f t="shared" si="62"/>
        <v>0</v>
      </c>
      <c r="E672" s="511">
        <f t="shared" si="63"/>
        <v>0</v>
      </c>
      <c r="F672" s="511">
        <f t="shared" si="56"/>
        <v>0</v>
      </c>
      <c r="G672" s="469">
        <f t="shared" si="57"/>
        <v>0</v>
      </c>
      <c r="H672" s="506">
        <f>+J614*G672+E672</f>
        <v>0</v>
      </c>
      <c r="I672" s="512">
        <f>+J615*G672+E672</f>
        <v>0</v>
      </c>
      <c r="J672" s="509">
        <f t="shared" si="58"/>
        <v>0</v>
      </c>
      <c r="K672" s="509"/>
      <c r="L672" s="513"/>
      <c r="M672" s="509">
        <f t="shared" si="59"/>
        <v>0</v>
      </c>
      <c r="N672" s="513"/>
      <c r="O672" s="509">
        <f t="shared" si="60"/>
        <v>0</v>
      </c>
      <c r="P672" s="509">
        <f t="shared" si="61"/>
        <v>0</v>
      </c>
      <c r="Q672" s="471"/>
    </row>
    <row r="673" spans="1:17">
      <c r="C673" s="505">
        <f>IF(D613="","-",+C672+1)</f>
        <v>2067</v>
      </c>
      <c r="D673" s="469">
        <f t="shared" si="62"/>
        <v>0</v>
      </c>
      <c r="E673" s="511">
        <f t="shared" si="63"/>
        <v>0</v>
      </c>
      <c r="F673" s="511">
        <f t="shared" si="56"/>
        <v>0</v>
      </c>
      <c r="G673" s="469">
        <f t="shared" si="57"/>
        <v>0</v>
      </c>
      <c r="H673" s="506">
        <f>+J614*G673+E673</f>
        <v>0</v>
      </c>
      <c r="I673" s="512">
        <f>+J615*G673+E673</f>
        <v>0</v>
      </c>
      <c r="J673" s="509">
        <f t="shared" si="58"/>
        <v>0</v>
      </c>
      <c r="K673" s="509"/>
      <c r="L673" s="513"/>
      <c r="M673" s="509">
        <f t="shared" si="59"/>
        <v>0</v>
      </c>
      <c r="N673" s="513"/>
      <c r="O673" s="509">
        <f t="shared" si="60"/>
        <v>0</v>
      </c>
      <c r="P673" s="509">
        <f t="shared" si="61"/>
        <v>0</v>
      </c>
      <c r="Q673" s="471"/>
    </row>
    <row r="674" spans="1:17">
      <c r="C674" s="505">
        <f>IF(D613="","-",+C673+1)</f>
        <v>2068</v>
      </c>
      <c r="D674" s="469">
        <f t="shared" si="62"/>
        <v>0</v>
      </c>
      <c r="E674" s="511">
        <f t="shared" si="63"/>
        <v>0</v>
      </c>
      <c r="F674" s="511">
        <f t="shared" si="56"/>
        <v>0</v>
      </c>
      <c r="G674" s="469">
        <f t="shared" si="57"/>
        <v>0</v>
      </c>
      <c r="H674" s="506">
        <f>+J614*G674+E674</f>
        <v>0</v>
      </c>
      <c r="I674" s="512">
        <f>+J615*G674+E674</f>
        <v>0</v>
      </c>
      <c r="J674" s="509">
        <f t="shared" si="58"/>
        <v>0</v>
      </c>
      <c r="K674" s="509"/>
      <c r="L674" s="513"/>
      <c r="M674" s="509">
        <f t="shared" si="59"/>
        <v>0</v>
      </c>
      <c r="N674" s="513"/>
      <c r="O674" s="509">
        <f t="shared" si="60"/>
        <v>0</v>
      </c>
      <c r="P674" s="509">
        <f t="shared" si="61"/>
        <v>0</v>
      </c>
      <c r="Q674" s="471"/>
    </row>
    <row r="675" spans="1:17">
      <c r="C675" s="505">
        <f>IF(D613="","-",+C674+1)</f>
        <v>2069</v>
      </c>
      <c r="D675" s="469">
        <f t="shared" si="62"/>
        <v>0</v>
      </c>
      <c r="E675" s="511">
        <f t="shared" si="63"/>
        <v>0</v>
      </c>
      <c r="F675" s="511">
        <f t="shared" si="56"/>
        <v>0</v>
      </c>
      <c r="G675" s="469">
        <f t="shared" si="57"/>
        <v>0</v>
      </c>
      <c r="H675" s="506">
        <f>+J614*G675+E675</f>
        <v>0</v>
      </c>
      <c r="I675" s="512">
        <f>+J615*G675+E675</f>
        <v>0</v>
      </c>
      <c r="J675" s="509">
        <f t="shared" si="58"/>
        <v>0</v>
      </c>
      <c r="K675" s="509"/>
      <c r="L675" s="513"/>
      <c r="M675" s="509">
        <f t="shared" si="59"/>
        <v>0</v>
      </c>
      <c r="N675" s="513"/>
      <c r="O675" s="509">
        <f t="shared" si="60"/>
        <v>0</v>
      </c>
      <c r="P675" s="509">
        <f t="shared" si="61"/>
        <v>0</v>
      </c>
      <c r="Q675" s="471"/>
    </row>
    <row r="676" spans="1:17">
      <c r="C676" s="505">
        <f>IF(D613="","-",+C675+1)</f>
        <v>2070</v>
      </c>
      <c r="D676" s="469">
        <f t="shared" si="62"/>
        <v>0</v>
      </c>
      <c r="E676" s="511">
        <f t="shared" si="63"/>
        <v>0</v>
      </c>
      <c r="F676" s="511">
        <f t="shared" si="56"/>
        <v>0</v>
      </c>
      <c r="G676" s="469">
        <f t="shared" si="57"/>
        <v>0</v>
      </c>
      <c r="H676" s="506">
        <f>+J614*G676+E676</f>
        <v>0</v>
      </c>
      <c r="I676" s="512">
        <f>+J615*G676+E676</f>
        <v>0</v>
      </c>
      <c r="J676" s="509">
        <f t="shared" si="58"/>
        <v>0</v>
      </c>
      <c r="K676" s="509"/>
      <c r="L676" s="513"/>
      <c r="M676" s="509">
        <f t="shared" si="59"/>
        <v>0</v>
      </c>
      <c r="N676" s="513"/>
      <c r="O676" s="509">
        <f t="shared" si="60"/>
        <v>0</v>
      </c>
      <c r="P676" s="509">
        <f t="shared" si="61"/>
        <v>0</v>
      </c>
      <c r="Q676" s="471"/>
    </row>
    <row r="677" spans="1:17">
      <c r="C677" s="505">
        <f>IF(D613="","-",+C676+1)</f>
        <v>2071</v>
      </c>
      <c r="D677" s="469">
        <f t="shared" si="62"/>
        <v>0</v>
      </c>
      <c r="E677" s="511">
        <f t="shared" si="63"/>
        <v>0</v>
      </c>
      <c r="F677" s="511">
        <f t="shared" si="56"/>
        <v>0</v>
      </c>
      <c r="G677" s="469">
        <f t="shared" si="57"/>
        <v>0</v>
      </c>
      <c r="H677" s="506">
        <f>+J614*G677+E677</f>
        <v>0</v>
      </c>
      <c r="I677" s="512">
        <f>+J615*G677+E677</f>
        <v>0</v>
      </c>
      <c r="J677" s="509">
        <f t="shared" si="58"/>
        <v>0</v>
      </c>
      <c r="K677" s="509"/>
      <c r="L677" s="513"/>
      <c r="M677" s="509">
        <f t="shared" si="59"/>
        <v>0</v>
      </c>
      <c r="N677" s="513"/>
      <c r="O677" s="509">
        <f t="shared" si="60"/>
        <v>0</v>
      </c>
      <c r="P677" s="509">
        <f t="shared" si="61"/>
        <v>0</v>
      </c>
      <c r="Q677" s="471"/>
    </row>
    <row r="678" spans="1:17" ht="13.5" thickBot="1">
      <c r="C678" s="515">
        <f>IF(D613="","-",+C677+1)</f>
        <v>2072</v>
      </c>
      <c r="D678" s="516">
        <f t="shared" si="62"/>
        <v>0</v>
      </c>
      <c r="E678" s="976">
        <f t="shared" si="63"/>
        <v>0</v>
      </c>
      <c r="F678" s="517">
        <f t="shared" si="56"/>
        <v>0</v>
      </c>
      <c r="G678" s="516">
        <f t="shared" si="57"/>
        <v>0</v>
      </c>
      <c r="H678" s="518">
        <f>+J614*G678+E678</f>
        <v>0</v>
      </c>
      <c r="I678" s="518">
        <f>+J615*G678+E678</f>
        <v>0</v>
      </c>
      <c r="J678" s="519">
        <f t="shared" si="58"/>
        <v>0</v>
      </c>
      <c r="K678" s="509"/>
      <c r="L678" s="520"/>
      <c r="M678" s="519">
        <f t="shared" si="59"/>
        <v>0</v>
      </c>
      <c r="N678" s="520"/>
      <c r="O678" s="519">
        <f t="shared" si="60"/>
        <v>0</v>
      </c>
      <c r="P678" s="519">
        <f t="shared" si="61"/>
        <v>0</v>
      </c>
      <c r="Q678" s="471"/>
    </row>
    <row r="679" spans="1:17">
      <c r="C679" s="469" t="s">
        <v>288</v>
      </c>
      <c r="D679" s="467"/>
      <c r="E679" s="467">
        <f>SUM(E619:E678)</f>
        <v>4008039.75</v>
      </c>
      <c r="F679" s="467"/>
      <c r="G679" s="467"/>
      <c r="H679" s="467">
        <f>SUM(H619:H678)</f>
        <v>17131418.007506255</v>
      </c>
      <c r="I679" s="467">
        <f>SUM(I619:I678)</f>
        <v>17131418.007506255</v>
      </c>
      <c r="J679" s="467">
        <f>SUM(J619:J678)</f>
        <v>0</v>
      </c>
      <c r="K679" s="467"/>
      <c r="L679" s="467"/>
      <c r="M679" s="467"/>
      <c r="N679" s="467"/>
      <c r="O679" s="467"/>
      <c r="Q679" s="467"/>
    </row>
    <row r="680" spans="1:17">
      <c r="D680" s="79"/>
      <c r="E680" s="4"/>
      <c r="F680" s="4"/>
      <c r="G680" s="4"/>
      <c r="H680" s="4"/>
      <c r="I680" s="452"/>
      <c r="J680" s="452"/>
      <c r="K680" s="467"/>
      <c r="L680" s="452"/>
      <c r="M680" s="452"/>
      <c r="N680" s="452"/>
      <c r="O680" s="452"/>
      <c r="Q680" s="467"/>
    </row>
    <row r="681" spans="1:17">
      <c r="C681" s="4" t="s">
        <v>595</v>
      </c>
      <c r="D681" s="79"/>
      <c r="E681" s="4"/>
      <c r="F681" s="4"/>
      <c r="G681" s="4"/>
      <c r="H681" s="4"/>
      <c r="I681" s="452"/>
      <c r="J681" s="452"/>
      <c r="K681" s="467"/>
      <c r="L681" s="452"/>
      <c r="M681" s="452"/>
      <c r="N681" s="452"/>
      <c r="O681" s="452"/>
      <c r="Q681" s="467"/>
    </row>
    <row r="682" spans="1:17">
      <c r="D682" s="79"/>
      <c r="E682" s="4"/>
      <c r="F682" s="4"/>
      <c r="G682" s="4"/>
      <c r="H682" s="4"/>
      <c r="I682" s="452"/>
      <c r="J682" s="452"/>
      <c r="K682" s="467"/>
      <c r="L682" s="452"/>
      <c r="M682" s="452"/>
      <c r="N682" s="452"/>
      <c r="O682" s="452"/>
      <c r="Q682" s="467"/>
    </row>
    <row r="683" spans="1:17">
      <c r="C683" s="4" t="s">
        <v>596</v>
      </c>
      <c r="D683" s="469"/>
      <c r="E683" s="469"/>
      <c r="F683" s="469"/>
      <c r="G683" s="469"/>
      <c r="H683" s="467"/>
      <c r="I683" s="467"/>
      <c r="J683" s="471"/>
      <c r="K683" s="471"/>
      <c r="L683" s="471"/>
      <c r="M683" s="471"/>
      <c r="N683" s="471"/>
      <c r="O683" s="471"/>
      <c r="Q683" s="471"/>
    </row>
    <row r="684" spans="1:17">
      <c r="C684" s="4" t="s">
        <v>476</v>
      </c>
      <c r="D684" s="469"/>
      <c r="E684" s="469"/>
      <c r="F684" s="469"/>
      <c r="G684" s="469"/>
      <c r="H684" s="467"/>
      <c r="I684" s="467"/>
      <c r="J684" s="471"/>
      <c r="K684" s="471"/>
      <c r="L684" s="471"/>
      <c r="M684" s="471"/>
      <c r="N684" s="471"/>
      <c r="O684" s="471"/>
      <c r="Q684" s="471"/>
    </row>
    <row r="685" spans="1:17">
      <c r="C685" s="4" t="s">
        <v>289</v>
      </c>
      <c r="D685" s="469"/>
      <c r="E685" s="469"/>
      <c r="F685" s="469"/>
      <c r="G685" s="469"/>
      <c r="H685" s="467"/>
      <c r="I685" s="467"/>
      <c r="J685" s="471"/>
      <c r="K685" s="471"/>
      <c r="L685" s="471"/>
      <c r="M685" s="471"/>
      <c r="N685" s="471"/>
      <c r="O685" s="471"/>
      <c r="Q685" s="471"/>
    </row>
    <row r="686" spans="1:17">
      <c r="C686" s="4"/>
      <c r="D686" s="469"/>
      <c r="E686" s="469"/>
      <c r="F686" s="469"/>
      <c r="G686" s="469"/>
      <c r="H686" s="467"/>
      <c r="I686" s="467"/>
      <c r="J686" s="471"/>
      <c r="K686" s="471"/>
      <c r="L686" s="471"/>
      <c r="M686" s="471"/>
      <c r="N686" s="471"/>
      <c r="O686" s="471"/>
      <c r="Q686" s="471"/>
    </row>
    <row r="687" spans="1:17">
      <c r="C687" s="4"/>
      <c r="D687" s="469"/>
      <c r="E687" s="469"/>
      <c r="F687" s="469"/>
      <c r="G687" s="469"/>
      <c r="H687" s="467"/>
      <c r="I687" s="467"/>
      <c r="J687" s="471"/>
      <c r="K687" s="471"/>
      <c r="L687" s="471"/>
      <c r="M687" s="471"/>
      <c r="N687" s="471"/>
      <c r="O687" s="471"/>
      <c r="Q687" s="471"/>
    </row>
    <row r="688" spans="1:17" ht="20.25">
      <c r="A688" s="411" t="s">
        <v>762</v>
      </c>
      <c r="B688" s="4"/>
      <c r="C688" s="4"/>
      <c r="D688" s="79"/>
      <c r="E688" s="4"/>
      <c r="F688" s="81"/>
      <c r="G688" s="81"/>
      <c r="H688" s="4"/>
      <c r="I688" s="452"/>
      <c r="L688" s="11"/>
      <c r="M688" s="11"/>
      <c r="N688" s="11"/>
      <c r="O688" s="11" t="str">
        <f>"Page "&amp;SUM(Q$3:Q688)&amp;" of "</f>
        <v xml:space="preserve">Page 9 of </v>
      </c>
      <c r="P688" s="412">
        <f>COUNT(Q$8:Q$58212)</f>
        <v>23</v>
      </c>
      <c r="Q688" s="539">
        <v>1</v>
      </c>
    </row>
    <row r="689" spans="1:17">
      <c r="B689" s="4"/>
      <c r="C689" s="4"/>
      <c r="D689" s="79"/>
      <c r="E689" s="4"/>
      <c r="F689" s="4"/>
      <c r="G689" s="4"/>
      <c r="H689" s="4"/>
      <c r="I689" s="452"/>
      <c r="J689" s="4"/>
      <c r="K689" s="4"/>
    </row>
    <row r="690" spans="1:17" ht="18">
      <c r="B690" s="413" t="s">
        <v>174</v>
      </c>
      <c r="C690" s="472" t="s">
        <v>290</v>
      </c>
      <c r="D690" s="79"/>
      <c r="E690" s="4"/>
      <c r="F690" s="4"/>
      <c r="G690" s="4"/>
      <c r="H690" s="4"/>
      <c r="I690" s="452"/>
      <c r="J690" s="452"/>
      <c r="K690" s="467"/>
      <c r="L690" s="452"/>
      <c r="M690" s="452"/>
      <c r="N690" s="452"/>
      <c r="O690" s="452"/>
      <c r="Q690" s="467"/>
    </row>
    <row r="691" spans="1:17" ht="18.75">
      <c r="B691" s="413"/>
      <c r="C691" s="13"/>
      <c r="D691" s="79"/>
      <c r="E691" s="4"/>
      <c r="F691" s="4"/>
      <c r="G691" s="4"/>
      <c r="H691" s="4"/>
      <c r="I691" s="452"/>
      <c r="J691" s="452"/>
      <c r="K691" s="467"/>
      <c r="L691" s="452"/>
      <c r="M691" s="452"/>
      <c r="N691" s="452"/>
      <c r="O691" s="452"/>
      <c r="Q691" s="467"/>
    </row>
    <row r="692" spans="1:17" ht="18.75">
      <c r="B692" s="413"/>
      <c r="C692" s="13" t="s">
        <v>291</v>
      </c>
      <c r="D692" s="79"/>
      <c r="E692" s="4"/>
      <c r="F692" s="4"/>
      <c r="G692" s="4"/>
      <c r="H692" s="4"/>
      <c r="I692" s="452"/>
      <c r="J692" s="452"/>
      <c r="K692" s="467"/>
      <c r="L692" s="452"/>
      <c r="M692" s="452"/>
      <c r="N692" s="452"/>
      <c r="O692" s="452"/>
      <c r="Q692" s="467"/>
    </row>
    <row r="693" spans="1:17" ht="15.75" thickBot="1">
      <c r="C693" s="247"/>
      <c r="D693" s="79"/>
      <c r="E693" s="4"/>
      <c r="F693" s="4"/>
      <c r="G693" s="4"/>
      <c r="H693" s="4"/>
      <c r="I693" s="452"/>
      <c r="J693" s="452"/>
      <c r="K693" s="467"/>
      <c r="L693" s="452"/>
      <c r="M693" s="452"/>
      <c r="N693" s="452"/>
      <c r="O693" s="452"/>
      <c r="Q693" s="467"/>
    </row>
    <row r="694" spans="1:17" ht="15.75">
      <c r="C694" s="414" t="s">
        <v>292</v>
      </c>
      <c r="D694" s="79"/>
      <c r="E694" s="4"/>
      <c r="F694" s="4"/>
      <c r="G694" s="4"/>
      <c r="H694" s="635"/>
      <c r="I694" s="4" t="s">
        <v>271</v>
      </c>
      <c r="J694" s="4"/>
      <c r="K694" s="4"/>
      <c r="L694" s="540">
        <f>+J700</f>
        <v>2025</v>
      </c>
      <c r="M694" s="524" t="s">
        <v>254</v>
      </c>
      <c r="N694" s="524" t="s">
        <v>255</v>
      </c>
      <c r="O694" s="525" t="s">
        <v>256</v>
      </c>
    </row>
    <row r="695" spans="1:17" ht="15.75">
      <c r="C695" s="414"/>
      <c r="D695" s="79"/>
      <c r="E695" s="4"/>
      <c r="F695" s="4"/>
      <c r="H695" s="4"/>
      <c r="I695" s="476"/>
      <c r="J695" s="476"/>
      <c r="K695" s="477"/>
      <c r="L695" s="541" t="s">
        <v>455</v>
      </c>
      <c r="M695" s="542">
        <f>VLOOKUP(J700,C707:P766,10)</f>
        <v>14931.498953312157</v>
      </c>
      <c r="N695" s="542">
        <f>VLOOKUP(J700,C707:P766,12)</f>
        <v>14931.498953312157</v>
      </c>
      <c r="O695" s="543">
        <f>+N695-M695</f>
        <v>0</v>
      </c>
      <c r="Q695" s="477"/>
    </row>
    <row r="696" spans="1:17" ht="12.95" customHeight="1">
      <c r="C696" s="479" t="s">
        <v>293</v>
      </c>
      <c r="D696" s="1278" t="s">
        <v>931</v>
      </c>
      <c r="E696" s="1279"/>
      <c r="F696" s="1279"/>
      <c r="G696" s="1279"/>
      <c r="H696" s="1279"/>
      <c r="I696" s="1279"/>
      <c r="J696" s="452"/>
      <c r="K696" s="467"/>
      <c r="L696" s="541" t="s">
        <v>456</v>
      </c>
      <c r="M696" s="544">
        <f>VLOOKUP(J700,C707:P766,6)</f>
        <v>15317.002858607741</v>
      </c>
      <c r="N696" s="544">
        <f>VLOOKUP(J700,C707:P766,7)</f>
        <v>15317.002858607741</v>
      </c>
      <c r="O696" s="545">
        <f>+N696-M696</f>
        <v>0</v>
      </c>
      <c r="Q696" s="467"/>
    </row>
    <row r="697" spans="1:17" ht="13.5" thickBot="1">
      <c r="C697" s="481"/>
      <c r="D697" s="1279"/>
      <c r="E697" s="1279"/>
      <c r="F697" s="1279"/>
      <c r="G697" s="1279"/>
      <c r="H697" s="1279"/>
      <c r="I697" s="1279"/>
      <c r="J697" s="452"/>
      <c r="K697" s="467"/>
      <c r="L697" s="492" t="s">
        <v>457</v>
      </c>
      <c r="M697" s="546">
        <f>+M696-M695</f>
        <v>385.50390529558354</v>
      </c>
      <c r="N697" s="546">
        <f>+N696-N695</f>
        <v>385.50390529558354</v>
      </c>
      <c r="O697" s="547">
        <f>+O696-O695</f>
        <v>0</v>
      </c>
      <c r="Q697" s="467"/>
    </row>
    <row r="698" spans="1:17" ht="13.5" thickBot="1">
      <c r="C698" s="481"/>
      <c r="D698" s="4"/>
      <c r="E698" s="483"/>
      <c r="F698" s="483"/>
      <c r="G698" s="483"/>
      <c r="H698" s="483"/>
      <c r="I698" s="483"/>
      <c r="J698" s="483"/>
      <c r="K698" s="483"/>
      <c r="L698" s="483"/>
      <c r="M698" s="483"/>
      <c r="N698" s="483"/>
      <c r="O698" s="483"/>
      <c r="Q698" s="483"/>
    </row>
    <row r="699" spans="1:17" ht="13.5" thickBot="1">
      <c r="C699" s="484" t="s">
        <v>294</v>
      </c>
      <c r="D699" s="485"/>
      <c r="E699" s="485"/>
      <c r="F699" s="485"/>
      <c r="G699" s="485"/>
      <c r="H699" s="485"/>
      <c r="I699" s="485"/>
      <c r="J699" s="485"/>
      <c r="Q699"/>
    </row>
    <row r="700" spans="1:17" ht="15">
      <c r="A700" s="977"/>
      <c r="C700" s="487" t="s">
        <v>272</v>
      </c>
      <c r="D700" s="926">
        <v>118332.36000000002</v>
      </c>
      <c r="E700" s="4" t="s">
        <v>273</v>
      </c>
      <c r="H700" s="79"/>
      <c r="I700" s="79"/>
      <c r="J700" s="488">
        <f>$J$95</f>
        <v>2025</v>
      </c>
      <c r="K700" s="135"/>
      <c r="L700" s="1287" t="s">
        <v>274</v>
      </c>
      <c r="M700" s="1287"/>
      <c r="N700" s="1287"/>
      <c r="O700" s="1287"/>
      <c r="Q700" s="135"/>
    </row>
    <row r="701" spans="1:17">
      <c r="A701" s="977"/>
      <c r="C701" s="487" t="s">
        <v>275</v>
      </c>
      <c r="D701" s="636">
        <v>2013</v>
      </c>
      <c r="E701" s="487" t="s">
        <v>276</v>
      </c>
      <c r="F701" s="79"/>
      <c r="G701" s="79"/>
      <c r="I701"/>
      <c r="J701" s="638">
        <v>0</v>
      </c>
      <c r="K701" s="489"/>
      <c r="L701" s="467" t="s">
        <v>475</v>
      </c>
      <c r="Q701" s="489"/>
    </row>
    <row r="702" spans="1:17">
      <c r="A702" s="977"/>
      <c r="C702" s="487" t="s">
        <v>277</v>
      </c>
      <c r="D702" s="926">
        <v>1</v>
      </c>
      <c r="E702" s="487" t="s">
        <v>278</v>
      </c>
      <c r="F702" s="79"/>
      <c r="G702" s="79"/>
      <c r="I702"/>
      <c r="J702" s="490">
        <f>$F$70</f>
        <v>0.14996626714737105</v>
      </c>
      <c r="K702" s="81"/>
      <c r="L702" s="4" t="str">
        <f>"          INPUT TRUE-UP ARR (WITH &amp; WITHOUT INCENTIVES) FROM EACH PRIOR YEAR"</f>
        <v xml:space="preserve">          INPUT TRUE-UP ARR (WITH &amp; WITHOUT INCENTIVES) FROM EACH PRIOR YEAR</v>
      </c>
      <c r="Q702" s="81"/>
    </row>
    <row r="703" spans="1:17">
      <c r="A703" s="977"/>
      <c r="C703" s="487" t="s">
        <v>279</v>
      </c>
      <c r="D703" s="491">
        <f>H79</f>
        <v>42</v>
      </c>
      <c r="E703" s="487" t="s">
        <v>280</v>
      </c>
      <c r="F703" s="79"/>
      <c r="G703" s="79"/>
      <c r="I703"/>
      <c r="J703" s="490">
        <f>IF(H694="",J702,$F$69)</f>
        <v>0.14996626714737105</v>
      </c>
      <c r="K703" s="81"/>
      <c r="L703" s="4" t="s">
        <v>362</v>
      </c>
      <c r="M703" s="81"/>
      <c r="N703" s="81"/>
      <c r="O703" s="81"/>
      <c r="Q703" s="81"/>
    </row>
    <row r="704" spans="1:17" ht="13.5" thickBot="1">
      <c r="A704" s="977"/>
      <c r="C704" s="487" t="s">
        <v>281</v>
      </c>
      <c r="D704" s="637" t="s">
        <v>923</v>
      </c>
      <c r="E704" s="492" t="s">
        <v>282</v>
      </c>
      <c r="F704" s="493"/>
      <c r="G704" s="493"/>
      <c r="H704" s="494"/>
      <c r="I704" s="494"/>
      <c r="J704" s="480">
        <f>IF(D700=0,0,D700/D703)</f>
        <v>2817.437142857143</v>
      </c>
      <c r="K704" s="467"/>
      <c r="L704" s="467" t="s">
        <v>363</v>
      </c>
      <c r="M704" s="467"/>
      <c r="N704" s="467"/>
      <c r="O704" s="467"/>
      <c r="Q704" s="467"/>
    </row>
    <row r="705" spans="1:17" ht="38.25">
      <c r="A705" s="12"/>
      <c r="B705" s="12"/>
      <c r="C705" s="495" t="s">
        <v>272</v>
      </c>
      <c r="D705" s="496" t="s">
        <v>283</v>
      </c>
      <c r="E705" s="497" t="s">
        <v>284</v>
      </c>
      <c r="F705" s="496" t="s">
        <v>285</v>
      </c>
      <c r="G705" s="496" t="s">
        <v>458</v>
      </c>
      <c r="H705" s="497" t="s">
        <v>356</v>
      </c>
      <c r="I705" s="498" t="s">
        <v>356</v>
      </c>
      <c r="J705" s="495" t="s">
        <v>295</v>
      </c>
      <c r="K705" s="499"/>
      <c r="L705" s="497" t="s">
        <v>358</v>
      </c>
      <c r="M705" s="497" t="s">
        <v>364</v>
      </c>
      <c r="N705" s="497" t="s">
        <v>358</v>
      </c>
      <c r="O705" s="497" t="s">
        <v>366</v>
      </c>
      <c r="P705" s="497" t="s">
        <v>286</v>
      </c>
      <c r="Q705" s="128"/>
    </row>
    <row r="706" spans="1:17" ht="13.5" thickBot="1">
      <c r="C706" s="500" t="s">
        <v>177</v>
      </c>
      <c r="D706" s="501" t="s">
        <v>178</v>
      </c>
      <c r="E706" s="500" t="s">
        <v>37</v>
      </c>
      <c r="F706" s="501" t="s">
        <v>178</v>
      </c>
      <c r="G706" s="501" t="s">
        <v>178</v>
      </c>
      <c r="H706" s="502" t="s">
        <v>298</v>
      </c>
      <c r="I706" s="503" t="s">
        <v>300</v>
      </c>
      <c r="J706" s="500" t="s">
        <v>389</v>
      </c>
      <c r="K706" s="504"/>
      <c r="L706" s="502" t="s">
        <v>287</v>
      </c>
      <c r="M706" s="502" t="s">
        <v>287</v>
      </c>
      <c r="N706" s="502" t="s">
        <v>467</v>
      </c>
      <c r="O706" s="502" t="s">
        <v>467</v>
      </c>
      <c r="P706" s="502" t="s">
        <v>467</v>
      </c>
      <c r="Q706" s="135"/>
    </row>
    <row r="707" spans="1:17">
      <c r="C707" s="505">
        <f>IF(D701= "","-",D701)</f>
        <v>2013</v>
      </c>
      <c r="D707" s="469">
        <f>+D700</f>
        <v>118332.36000000002</v>
      </c>
      <c r="E707" s="506">
        <f>+J704/12*(12-D702)</f>
        <v>2582.6507142857145</v>
      </c>
      <c r="F707" s="548">
        <f t="shared" ref="F707:F766" si="64">+D707-E707</f>
        <v>115749.7092857143</v>
      </c>
      <c r="G707" s="469">
        <f t="shared" ref="G707:G766" si="65">+(D707+F707)/2</f>
        <v>117041.03464285715</v>
      </c>
      <c r="H707" s="507">
        <f>+J702*G707+E707</f>
        <v>20134.857782741139</v>
      </c>
      <c r="I707" s="508">
        <f>+J703*G707+E707</f>
        <v>20134.857782741139</v>
      </c>
      <c r="J707" s="509">
        <f t="shared" ref="J707:J766" si="66">+I707-H707</f>
        <v>0</v>
      </c>
      <c r="K707" s="509"/>
      <c r="L707" s="513">
        <v>9.9999999999999995E-7</v>
      </c>
      <c r="M707" s="549">
        <f t="shared" ref="M707:M766" si="67">IF(L707&lt;&gt;0,+H707-L707,0)</f>
        <v>20134.857781741139</v>
      </c>
      <c r="N707" s="513">
        <v>9.9999999999999995E-7</v>
      </c>
      <c r="O707" s="549">
        <f t="shared" ref="O707:O766" si="68">IF(N707&lt;&gt;0,+I707-N707,0)</f>
        <v>20134.857781741139</v>
      </c>
      <c r="P707" s="549">
        <f t="shared" ref="P707:P766" si="69">+O707-M707</f>
        <v>0</v>
      </c>
      <c r="Q707" s="471"/>
    </row>
    <row r="708" spans="1:17">
      <c r="C708" s="505">
        <f>IF(D701="","-",+C707+1)</f>
        <v>2014</v>
      </c>
      <c r="D708" s="469">
        <f t="shared" ref="D708:D766" si="70">F707</f>
        <v>115749.7092857143</v>
      </c>
      <c r="E708" s="511">
        <f>IF(D708&gt;$J$704,$J$704,D708)</f>
        <v>2817.437142857143</v>
      </c>
      <c r="F708" s="511">
        <f t="shared" si="64"/>
        <v>112932.27214285715</v>
      </c>
      <c r="G708" s="469">
        <f t="shared" si="65"/>
        <v>114340.99071428573</v>
      </c>
      <c r="H708" s="506">
        <f>+J702*G708+E708</f>
        <v>19964.728702210788</v>
      </c>
      <c r="I708" s="512">
        <f>+J703*G708+E708</f>
        <v>19964.728702210788</v>
      </c>
      <c r="J708" s="509">
        <f t="shared" si="66"/>
        <v>0</v>
      </c>
      <c r="K708" s="509"/>
      <c r="L708" s="513">
        <v>25862</v>
      </c>
      <c r="M708" s="509">
        <f t="shared" si="67"/>
        <v>-5897.2712977892115</v>
      </c>
      <c r="N708" s="513">
        <v>25862</v>
      </c>
      <c r="O708" s="509">
        <f t="shared" si="68"/>
        <v>-5897.2712977892115</v>
      </c>
      <c r="P708" s="509">
        <f t="shared" si="69"/>
        <v>0</v>
      </c>
      <c r="Q708" s="471"/>
    </row>
    <row r="709" spans="1:17">
      <c r="C709" s="505">
        <f>IF(D701="","-",+C708+1)</f>
        <v>2015</v>
      </c>
      <c r="D709" s="469">
        <f t="shared" si="70"/>
        <v>112932.27214285715</v>
      </c>
      <c r="E709" s="511">
        <f t="shared" ref="E709:E766" si="71">IF(D709&gt;$J$704,$J$704,D709)</f>
        <v>2817.437142857143</v>
      </c>
      <c r="F709" s="511">
        <f t="shared" si="64"/>
        <v>110114.83500000001</v>
      </c>
      <c r="G709" s="469">
        <f t="shared" si="65"/>
        <v>111523.55357142858</v>
      </c>
      <c r="H709" s="506">
        <f>+J702*G709+E709</f>
        <v>19542.208170974147</v>
      </c>
      <c r="I709" s="512">
        <f>+J703*G709+E709</f>
        <v>19542.208170974147</v>
      </c>
      <c r="J709" s="509">
        <f t="shared" si="66"/>
        <v>0</v>
      </c>
      <c r="K709" s="509"/>
      <c r="L709" s="513">
        <v>17942</v>
      </c>
      <c r="M709" s="509">
        <f t="shared" si="67"/>
        <v>1600.2081709741469</v>
      </c>
      <c r="N709" s="513">
        <v>17942</v>
      </c>
      <c r="O709" s="509">
        <f t="shared" si="68"/>
        <v>1600.2081709741469</v>
      </c>
      <c r="P709" s="509">
        <f t="shared" si="69"/>
        <v>0</v>
      </c>
      <c r="Q709" s="471"/>
    </row>
    <row r="710" spans="1:17">
      <c r="C710" s="505">
        <f>IF(D701="","-",+C709+1)</f>
        <v>2016</v>
      </c>
      <c r="D710" s="469">
        <f t="shared" si="70"/>
        <v>110114.83500000001</v>
      </c>
      <c r="E710" s="511">
        <f t="shared" si="71"/>
        <v>2817.437142857143</v>
      </c>
      <c r="F710" s="511">
        <f t="shared" si="64"/>
        <v>107297.39785714286</v>
      </c>
      <c r="G710" s="469">
        <f t="shared" si="65"/>
        <v>108706.11642857143</v>
      </c>
      <c r="H710" s="506">
        <f>+J702*G710+E710</f>
        <v>19119.687639737509</v>
      </c>
      <c r="I710" s="512">
        <f>+J703*G710+E710</f>
        <v>19119.687639737509</v>
      </c>
      <c r="J710" s="509">
        <f t="shared" si="66"/>
        <v>0</v>
      </c>
      <c r="K710" s="509"/>
      <c r="L710" s="513">
        <v>22706</v>
      </c>
      <c r="M710" s="509">
        <f t="shared" si="67"/>
        <v>-3586.312360262491</v>
      </c>
      <c r="N710" s="513">
        <v>22706</v>
      </c>
      <c r="O710" s="509">
        <f t="shared" si="68"/>
        <v>-3586.312360262491</v>
      </c>
      <c r="P710" s="509">
        <f t="shared" si="69"/>
        <v>0</v>
      </c>
      <c r="Q710" s="471"/>
    </row>
    <row r="711" spans="1:17">
      <c r="C711" s="505">
        <f>IF(D701="","-",+C710+1)</f>
        <v>2017</v>
      </c>
      <c r="D711" s="469">
        <f t="shared" si="70"/>
        <v>107297.39785714286</v>
      </c>
      <c r="E711" s="511">
        <f t="shared" si="71"/>
        <v>2817.437142857143</v>
      </c>
      <c r="F711" s="511">
        <f t="shared" si="64"/>
        <v>104479.96071428571</v>
      </c>
      <c r="G711" s="469">
        <f t="shared" si="65"/>
        <v>105888.67928571429</v>
      </c>
      <c r="H711" s="506">
        <f>+J702*G711+E711</f>
        <v>18697.167108500864</v>
      </c>
      <c r="I711" s="512">
        <f>+J703*G711+E711</f>
        <v>18697.167108500864</v>
      </c>
      <c r="J711" s="509">
        <f t="shared" si="66"/>
        <v>0</v>
      </c>
      <c r="K711" s="509"/>
      <c r="L711" s="513">
        <v>22935</v>
      </c>
      <c r="M711" s="509">
        <f t="shared" si="67"/>
        <v>-4237.8328914991362</v>
      </c>
      <c r="N711" s="513">
        <v>22935</v>
      </c>
      <c r="O711" s="509">
        <f t="shared" si="68"/>
        <v>-4237.8328914991362</v>
      </c>
      <c r="P711" s="509">
        <f t="shared" si="69"/>
        <v>0</v>
      </c>
      <c r="Q711" s="471"/>
    </row>
    <row r="712" spans="1:17">
      <c r="C712" s="505">
        <f>IF(D701="","-",+C711+1)</f>
        <v>2018</v>
      </c>
      <c r="D712" s="469">
        <f t="shared" si="70"/>
        <v>104479.96071428571</v>
      </c>
      <c r="E712" s="511">
        <f t="shared" si="71"/>
        <v>2817.437142857143</v>
      </c>
      <c r="F712" s="511">
        <f t="shared" si="64"/>
        <v>101662.52357142857</v>
      </c>
      <c r="G712" s="469">
        <f t="shared" si="65"/>
        <v>103071.24214285714</v>
      </c>
      <c r="H712" s="506">
        <f>+J702*G712+E712</f>
        <v>18274.646577264226</v>
      </c>
      <c r="I712" s="512">
        <f>+J703*G712+E712</f>
        <v>18274.646577264226</v>
      </c>
      <c r="J712" s="509">
        <f t="shared" si="66"/>
        <v>0</v>
      </c>
      <c r="K712" s="509"/>
      <c r="L712" s="513">
        <v>18387</v>
      </c>
      <c r="M712" s="509">
        <f t="shared" si="67"/>
        <v>-112.35342273577407</v>
      </c>
      <c r="N712" s="513">
        <v>18387</v>
      </c>
      <c r="O712" s="509">
        <f t="shared" si="68"/>
        <v>-112.35342273577407</v>
      </c>
      <c r="P712" s="509">
        <f t="shared" si="69"/>
        <v>0</v>
      </c>
      <c r="Q712" s="471"/>
    </row>
    <row r="713" spans="1:17">
      <c r="C713" s="505">
        <f>IF(D701="","-",+C712+1)</f>
        <v>2019</v>
      </c>
      <c r="D713" s="941">
        <f t="shared" si="70"/>
        <v>101662.52357142857</v>
      </c>
      <c r="E713" s="511">
        <f t="shared" si="71"/>
        <v>2817.437142857143</v>
      </c>
      <c r="F713" s="511">
        <f t="shared" si="64"/>
        <v>98845.08642857142</v>
      </c>
      <c r="G713" s="469">
        <f t="shared" si="65"/>
        <v>100253.80499999999</v>
      </c>
      <c r="H713" s="506">
        <f>+J702*G713+E713</f>
        <v>17852.126046027584</v>
      </c>
      <c r="I713" s="512">
        <f>+J703*G713+E713</f>
        <v>17852.126046027584</v>
      </c>
      <c r="J713" s="509">
        <f t="shared" si="66"/>
        <v>0</v>
      </c>
      <c r="K713" s="509"/>
      <c r="L713" s="513">
        <v>17870</v>
      </c>
      <c r="M713" s="509">
        <f t="shared" si="67"/>
        <v>-17.87395397241562</v>
      </c>
      <c r="N713" s="513">
        <v>17870</v>
      </c>
      <c r="O713" s="509">
        <f t="shared" si="68"/>
        <v>-17.87395397241562</v>
      </c>
      <c r="P713" s="509">
        <f t="shared" si="69"/>
        <v>0</v>
      </c>
      <c r="Q713" s="471"/>
    </row>
    <row r="714" spans="1:17">
      <c r="C714" s="505">
        <f>IF(D701="","-",+C713+1)</f>
        <v>2020</v>
      </c>
      <c r="D714" s="469">
        <f t="shared" si="70"/>
        <v>98845.08642857142</v>
      </c>
      <c r="E714" s="511">
        <f t="shared" si="71"/>
        <v>2817.437142857143</v>
      </c>
      <c r="F714" s="511">
        <f t="shared" si="64"/>
        <v>96027.649285714273</v>
      </c>
      <c r="G714" s="469">
        <f t="shared" si="65"/>
        <v>97436.367857142846</v>
      </c>
      <c r="H714" s="506">
        <f>+J702*G714+E714</f>
        <v>17429.605514790943</v>
      </c>
      <c r="I714" s="512">
        <f>+J703*G714+E714</f>
        <v>17429.605514790943</v>
      </c>
      <c r="J714" s="509">
        <f t="shared" si="66"/>
        <v>0</v>
      </c>
      <c r="K714" s="509"/>
      <c r="L714" s="513">
        <v>17206.845783786517</v>
      </c>
      <c r="M714" s="509">
        <f t="shared" si="67"/>
        <v>222.7597310044257</v>
      </c>
      <c r="N714" s="513">
        <v>17206.845783786517</v>
      </c>
      <c r="O714" s="509">
        <f t="shared" si="68"/>
        <v>222.7597310044257</v>
      </c>
      <c r="P714" s="509">
        <f t="shared" si="69"/>
        <v>0</v>
      </c>
      <c r="Q714" s="471"/>
    </row>
    <row r="715" spans="1:17">
      <c r="C715" s="505">
        <f>IF(D701="","-",+C714+1)</f>
        <v>2021</v>
      </c>
      <c r="D715" s="469">
        <f t="shared" si="70"/>
        <v>96027.649285714273</v>
      </c>
      <c r="E715" s="511">
        <f t="shared" si="71"/>
        <v>2817.437142857143</v>
      </c>
      <c r="F715" s="511">
        <f t="shared" si="64"/>
        <v>93210.212142857126</v>
      </c>
      <c r="G715" s="469">
        <f t="shared" si="65"/>
        <v>94618.9307142857</v>
      </c>
      <c r="H715" s="506">
        <f>+J702*G715+E715</f>
        <v>17007.084983554305</v>
      </c>
      <c r="I715" s="512">
        <f>+J703*G715+E715</f>
        <v>17007.084983554305</v>
      </c>
      <c r="J715" s="509">
        <f t="shared" si="66"/>
        <v>0</v>
      </c>
      <c r="K715" s="509"/>
      <c r="L715" s="513">
        <v>16407.482275028884</v>
      </c>
      <c r="M715" s="509">
        <f t="shared" si="67"/>
        <v>599.60270852542089</v>
      </c>
      <c r="N715" s="513">
        <v>16407.482275028884</v>
      </c>
      <c r="O715" s="509">
        <f t="shared" si="68"/>
        <v>599.60270852542089</v>
      </c>
      <c r="P715" s="509">
        <f t="shared" si="69"/>
        <v>0</v>
      </c>
      <c r="Q715" s="471"/>
    </row>
    <row r="716" spans="1:17">
      <c r="C716" s="963">
        <f>IF(D701="","-",+C715+1)</f>
        <v>2022</v>
      </c>
      <c r="D716" s="469">
        <f t="shared" si="70"/>
        <v>93210.212142857126</v>
      </c>
      <c r="E716" s="511">
        <f t="shared" si="71"/>
        <v>2817.437142857143</v>
      </c>
      <c r="F716" s="511">
        <f t="shared" si="64"/>
        <v>90392.77499999998</v>
      </c>
      <c r="G716" s="469">
        <f t="shared" si="65"/>
        <v>91801.493571428553</v>
      </c>
      <c r="H716" s="506">
        <f>+J702*G716+E716</f>
        <v>16584.564452317663</v>
      </c>
      <c r="I716" s="512">
        <f>+J703*G716+E716</f>
        <v>16584.564452317663</v>
      </c>
      <c r="J716" s="509">
        <f t="shared" si="66"/>
        <v>0</v>
      </c>
      <c r="K716" s="509"/>
      <c r="L716" s="513">
        <v>16087.895580844928</v>
      </c>
      <c r="M716" s="509">
        <f t="shared" si="67"/>
        <v>496.66887147273519</v>
      </c>
      <c r="N716" s="513">
        <v>16087.895580844928</v>
      </c>
      <c r="O716" s="509">
        <f t="shared" si="68"/>
        <v>496.66887147273519</v>
      </c>
      <c r="P716" s="509">
        <f t="shared" si="69"/>
        <v>0</v>
      </c>
      <c r="Q716" s="471"/>
    </row>
    <row r="717" spans="1:17">
      <c r="C717" s="505">
        <f>IF(D701="","-",+C716+1)</f>
        <v>2023</v>
      </c>
      <c r="D717" s="469">
        <f t="shared" si="70"/>
        <v>90392.77499999998</v>
      </c>
      <c r="E717" s="511">
        <f t="shared" si="71"/>
        <v>2817.437142857143</v>
      </c>
      <c r="F717" s="511">
        <f t="shared" si="64"/>
        <v>87575.337857142833</v>
      </c>
      <c r="G717" s="469">
        <f t="shared" si="65"/>
        <v>88984.056428571406</v>
      </c>
      <c r="H717" s="506">
        <f>+J702*G717+E717</f>
        <v>16162.043921081022</v>
      </c>
      <c r="I717" s="512">
        <f>+J703*G717+E717</f>
        <v>16162.043921081022</v>
      </c>
      <c r="J717" s="509">
        <f t="shared" si="66"/>
        <v>0</v>
      </c>
      <c r="K717" s="509"/>
      <c r="L717" s="513">
        <v>16310.773954039512</v>
      </c>
      <c r="M717" s="509">
        <f t="shared" si="67"/>
        <v>-148.73003295849048</v>
      </c>
      <c r="N717" s="513">
        <v>16310.773954039512</v>
      </c>
      <c r="O717" s="509">
        <f t="shared" si="68"/>
        <v>-148.73003295849048</v>
      </c>
      <c r="P717" s="509">
        <f t="shared" si="69"/>
        <v>0</v>
      </c>
      <c r="Q717" s="471"/>
    </row>
    <row r="718" spans="1:17">
      <c r="C718" s="505">
        <f>IF(D701="","-",+C717+1)</f>
        <v>2024</v>
      </c>
      <c r="D718" s="469">
        <f t="shared" si="70"/>
        <v>87575.337857142833</v>
      </c>
      <c r="E718" s="511">
        <f t="shared" si="71"/>
        <v>2817.437142857143</v>
      </c>
      <c r="F718" s="511">
        <f t="shared" si="64"/>
        <v>84757.900714285686</v>
      </c>
      <c r="G718" s="469">
        <f t="shared" si="65"/>
        <v>86166.61928571426</v>
      </c>
      <c r="H718" s="506">
        <f>+J702*G718+E718</f>
        <v>15739.523389844382</v>
      </c>
      <c r="I718" s="512">
        <f>+J703*G718+E718</f>
        <v>15739.523389844382</v>
      </c>
      <c r="J718" s="509">
        <f t="shared" si="66"/>
        <v>0</v>
      </c>
      <c r="K718" s="509"/>
      <c r="L718" s="513">
        <v>15823.137429146849</v>
      </c>
      <c r="M718" s="509">
        <f t="shared" si="67"/>
        <v>-83.614039302467063</v>
      </c>
      <c r="N718" s="513">
        <v>15823.137429146849</v>
      </c>
      <c r="O718" s="509">
        <f t="shared" si="68"/>
        <v>-83.614039302467063</v>
      </c>
      <c r="P718" s="509">
        <f t="shared" si="69"/>
        <v>0</v>
      </c>
      <c r="Q718" s="471"/>
    </row>
    <row r="719" spans="1:17">
      <c r="C719" s="505">
        <f>IF(D701="","-",+C718+1)</f>
        <v>2025</v>
      </c>
      <c r="D719" s="469">
        <f t="shared" si="70"/>
        <v>84757.900714285686</v>
      </c>
      <c r="E719" s="511">
        <f t="shared" si="71"/>
        <v>2817.437142857143</v>
      </c>
      <c r="F719" s="511">
        <f t="shared" si="64"/>
        <v>81940.46357142854</v>
      </c>
      <c r="G719" s="469">
        <f t="shared" si="65"/>
        <v>83349.182142857113</v>
      </c>
      <c r="H719" s="506">
        <f>+J702*G719+E719</f>
        <v>15317.002858607741</v>
      </c>
      <c r="I719" s="512">
        <f>+J703*G719+E719</f>
        <v>15317.002858607741</v>
      </c>
      <c r="J719" s="509">
        <f t="shared" si="66"/>
        <v>0</v>
      </c>
      <c r="K719" s="509"/>
      <c r="L719" s="513">
        <v>14931.498953312157</v>
      </c>
      <c r="M719" s="509">
        <f t="shared" si="67"/>
        <v>385.50390529558354</v>
      </c>
      <c r="N719" s="513">
        <v>14931.498953312157</v>
      </c>
      <c r="O719" s="509">
        <f t="shared" si="68"/>
        <v>385.50390529558354</v>
      </c>
      <c r="P719" s="509">
        <f t="shared" si="69"/>
        <v>0</v>
      </c>
      <c r="Q719" s="471"/>
    </row>
    <row r="720" spans="1:17">
      <c r="C720" s="505">
        <f>IF(D701="","-",+C719+1)</f>
        <v>2026</v>
      </c>
      <c r="D720" s="469">
        <f t="shared" si="70"/>
        <v>81940.46357142854</v>
      </c>
      <c r="E720" s="511">
        <f t="shared" si="71"/>
        <v>2817.437142857143</v>
      </c>
      <c r="F720" s="511">
        <f t="shared" si="64"/>
        <v>79123.026428571393</v>
      </c>
      <c r="G720" s="469">
        <f t="shared" si="65"/>
        <v>80531.744999999966</v>
      </c>
      <c r="H720" s="506">
        <f>+J702*G720+E720</f>
        <v>14894.482327371101</v>
      </c>
      <c r="I720" s="512">
        <f>+J703*G720+E720</f>
        <v>14894.482327371101</v>
      </c>
      <c r="J720" s="509">
        <f t="shared" si="66"/>
        <v>0</v>
      </c>
      <c r="K720" s="509"/>
      <c r="L720" s="513"/>
      <c r="M720" s="509">
        <f t="shared" si="67"/>
        <v>0</v>
      </c>
      <c r="N720" s="513"/>
      <c r="O720" s="509">
        <f t="shared" si="68"/>
        <v>0</v>
      </c>
      <c r="P720" s="509">
        <f t="shared" si="69"/>
        <v>0</v>
      </c>
      <c r="Q720" s="471"/>
    </row>
    <row r="721" spans="3:17">
      <c r="C721" s="505">
        <f>IF(D701="","-",+C720+1)</f>
        <v>2027</v>
      </c>
      <c r="D721" s="469">
        <f t="shared" si="70"/>
        <v>79123.026428571393</v>
      </c>
      <c r="E721" s="511">
        <f t="shared" si="71"/>
        <v>2817.437142857143</v>
      </c>
      <c r="F721" s="511">
        <f t="shared" si="64"/>
        <v>76305.589285714246</v>
      </c>
      <c r="G721" s="469">
        <f t="shared" si="65"/>
        <v>77714.30785714282</v>
      </c>
      <c r="H721" s="506">
        <f>+J702*G721+E721</f>
        <v>14471.961796134459</v>
      </c>
      <c r="I721" s="512">
        <f>+J703*G721+E721</f>
        <v>14471.961796134459</v>
      </c>
      <c r="J721" s="509">
        <f t="shared" si="66"/>
        <v>0</v>
      </c>
      <c r="K721" s="509"/>
      <c r="L721" s="513"/>
      <c r="M721" s="509">
        <f t="shared" si="67"/>
        <v>0</v>
      </c>
      <c r="N721" s="513"/>
      <c r="O721" s="509">
        <f t="shared" si="68"/>
        <v>0</v>
      </c>
      <c r="P721" s="509">
        <f t="shared" si="69"/>
        <v>0</v>
      </c>
      <c r="Q721" s="471"/>
    </row>
    <row r="722" spans="3:17">
      <c r="C722" s="505">
        <f>IF(D701="","-",+C721+1)</f>
        <v>2028</v>
      </c>
      <c r="D722" s="469">
        <f t="shared" si="70"/>
        <v>76305.589285714246</v>
      </c>
      <c r="E722" s="511">
        <f t="shared" si="71"/>
        <v>2817.437142857143</v>
      </c>
      <c r="F722" s="511">
        <f t="shared" si="64"/>
        <v>73488.1521428571</v>
      </c>
      <c r="G722" s="469">
        <f t="shared" si="65"/>
        <v>74896.870714285673</v>
      </c>
      <c r="H722" s="506">
        <f>+J702*G722+E722</f>
        <v>14049.44126489782</v>
      </c>
      <c r="I722" s="512">
        <f>+J703*G722+E722</f>
        <v>14049.44126489782</v>
      </c>
      <c r="J722" s="509">
        <f t="shared" si="66"/>
        <v>0</v>
      </c>
      <c r="K722" s="509"/>
      <c r="L722" s="513"/>
      <c r="M722" s="509">
        <f t="shared" si="67"/>
        <v>0</v>
      </c>
      <c r="N722" s="513"/>
      <c r="O722" s="509">
        <f t="shared" si="68"/>
        <v>0</v>
      </c>
      <c r="P722" s="509">
        <f t="shared" si="69"/>
        <v>0</v>
      </c>
      <c r="Q722" s="471"/>
    </row>
    <row r="723" spans="3:17">
      <c r="C723" s="505">
        <f>IF(D701="","-",+C722+1)</f>
        <v>2029</v>
      </c>
      <c r="D723" s="469">
        <f t="shared" si="70"/>
        <v>73488.1521428571</v>
      </c>
      <c r="E723" s="511">
        <f t="shared" si="71"/>
        <v>2817.437142857143</v>
      </c>
      <c r="F723" s="511">
        <f t="shared" si="64"/>
        <v>70670.714999999953</v>
      </c>
      <c r="G723" s="469">
        <f t="shared" si="65"/>
        <v>72079.433571428526</v>
      </c>
      <c r="H723" s="506">
        <f>+J702*G723+E723</f>
        <v>13626.920733661178</v>
      </c>
      <c r="I723" s="512">
        <f>+J703*G723+E723</f>
        <v>13626.920733661178</v>
      </c>
      <c r="J723" s="509">
        <f t="shared" si="66"/>
        <v>0</v>
      </c>
      <c r="K723" s="509"/>
      <c r="L723" s="513"/>
      <c r="M723" s="509">
        <f t="shared" si="67"/>
        <v>0</v>
      </c>
      <c r="N723" s="513"/>
      <c r="O723" s="509">
        <f t="shared" si="68"/>
        <v>0</v>
      </c>
      <c r="P723" s="509">
        <f t="shared" si="69"/>
        <v>0</v>
      </c>
      <c r="Q723" s="471"/>
    </row>
    <row r="724" spans="3:17">
      <c r="C724" s="505">
        <f>IF(D701="","-",+C723+1)</f>
        <v>2030</v>
      </c>
      <c r="D724" s="469">
        <f t="shared" si="70"/>
        <v>70670.714999999953</v>
      </c>
      <c r="E724" s="511">
        <f t="shared" si="71"/>
        <v>2817.437142857143</v>
      </c>
      <c r="F724" s="511">
        <f t="shared" si="64"/>
        <v>67853.277857142806</v>
      </c>
      <c r="G724" s="469">
        <f t="shared" si="65"/>
        <v>69261.99642857138</v>
      </c>
      <c r="H724" s="506">
        <f>+J702*G724+E724</f>
        <v>13204.400202424538</v>
      </c>
      <c r="I724" s="512">
        <f>+J703*G724+E724</f>
        <v>13204.400202424538</v>
      </c>
      <c r="J724" s="509">
        <f t="shared" si="66"/>
        <v>0</v>
      </c>
      <c r="K724" s="509"/>
      <c r="L724" s="513"/>
      <c r="M724" s="509">
        <f t="shared" si="67"/>
        <v>0</v>
      </c>
      <c r="N724" s="513"/>
      <c r="O724" s="509">
        <f t="shared" si="68"/>
        <v>0</v>
      </c>
      <c r="P724" s="509">
        <f t="shared" si="69"/>
        <v>0</v>
      </c>
      <c r="Q724" s="471"/>
    </row>
    <row r="725" spans="3:17">
      <c r="C725" s="505">
        <f>IF(D701="","-",+C724+1)</f>
        <v>2031</v>
      </c>
      <c r="D725" s="469">
        <f t="shared" si="70"/>
        <v>67853.277857142806</v>
      </c>
      <c r="E725" s="511">
        <f t="shared" si="71"/>
        <v>2817.437142857143</v>
      </c>
      <c r="F725" s="511">
        <f t="shared" si="64"/>
        <v>65035.840714285659</v>
      </c>
      <c r="G725" s="469">
        <f t="shared" si="65"/>
        <v>66444.559285714233</v>
      </c>
      <c r="H725" s="506">
        <f>+J702*G725+E725</f>
        <v>12781.879671187897</v>
      </c>
      <c r="I725" s="512">
        <f>+J703*G725+E725</f>
        <v>12781.879671187897</v>
      </c>
      <c r="J725" s="509">
        <f t="shared" si="66"/>
        <v>0</v>
      </c>
      <c r="K725" s="509"/>
      <c r="L725" s="513"/>
      <c r="M725" s="509">
        <f t="shared" si="67"/>
        <v>0</v>
      </c>
      <c r="N725" s="513"/>
      <c r="O725" s="509">
        <f t="shared" si="68"/>
        <v>0</v>
      </c>
      <c r="P725" s="509">
        <f t="shared" si="69"/>
        <v>0</v>
      </c>
      <c r="Q725" s="471"/>
    </row>
    <row r="726" spans="3:17">
      <c r="C726" s="505">
        <f>IF(D701="","-",+C725+1)</f>
        <v>2032</v>
      </c>
      <c r="D726" s="469">
        <f t="shared" si="70"/>
        <v>65035.840714285659</v>
      </c>
      <c r="E726" s="511">
        <f t="shared" si="71"/>
        <v>2817.437142857143</v>
      </c>
      <c r="F726" s="511">
        <f t="shared" si="64"/>
        <v>62218.403571428513</v>
      </c>
      <c r="G726" s="469">
        <f t="shared" si="65"/>
        <v>63627.122142857086</v>
      </c>
      <c r="H726" s="506">
        <f>+J702*G726+E726</f>
        <v>12359.359139951257</v>
      </c>
      <c r="I726" s="512">
        <f>+J703*G726+E726</f>
        <v>12359.359139951257</v>
      </c>
      <c r="J726" s="509">
        <f t="shared" si="66"/>
        <v>0</v>
      </c>
      <c r="K726" s="509"/>
      <c r="L726" s="513"/>
      <c r="M726" s="509">
        <f t="shared" si="67"/>
        <v>0</v>
      </c>
      <c r="N726" s="513"/>
      <c r="O726" s="509">
        <f t="shared" si="68"/>
        <v>0</v>
      </c>
      <c r="P726" s="509">
        <f t="shared" si="69"/>
        <v>0</v>
      </c>
      <c r="Q726" s="471"/>
    </row>
    <row r="727" spans="3:17">
      <c r="C727" s="505">
        <f>IF(D701="","-",+C726+1)</f>
        <v>2033</v>
      </c>
      <c r="D727" s="469">
        <f t="shared" si="70"/>
        <v>62218.403571428513</v>
      </c>
      <c r="E727" s="511">
        <f t="shared" si="71"/>
        <v>2817.437142857143</v>
      </c>
      <c r="F727" s="511">
        <f t="shared" si="64"/>
        <v>59400.966428571366</v>
      </c>
      <c r="G727" s="469">
        <f t="shared" si="65"/>
        <v>60809.684999999939</v>
      </c>
      <c r="H727" s="506">
        <f>+J702*G727+E727</f>
        <v>11936.838608714615</v>
      </c>
      <c r="I727" s="512">
        <f>+J703*G727+E727</f>
        <v>11936.838608714615</v>
      </c>
      <c r="J727" s="509">
        <f t="shared" si="66"/>
        <v>0</v>
      </c>
      <c r="K727" s="509"/>
      <c r="L727" s="513"/>
      <c r="M727" s="509">
        <f t="shared" si="67"/>
        <v>0</v>
      </c>
      <c r="N727" s="513"/>
      <c r="O727" s="509">
        <f t="shared" si="68"/>
        <v>0</v>
      </c>
      <c r="P727" s="509">
        <f t="shared" si="69"/>
        <v>0</v>
      </c>
      <c r="Q727" s="471"/>
    </row>
    <row r="728" spans="3:17">
      <c r="C728" s="505">
        <f>IF(D701="","-",+C727+1)</f>
        <v>2034</v>
      </c>
      <c r="D728" s="469">
        <f t="shared" si="70"/>
        <v>59400.966428571366</v>
      </c>
      <c r="E728" s="511">
        <f t="shared" si="71"/>
        <v>2817.437142857143</v>
      </c>
      <c r="F728" s="511">
        <f t="shared" si="64"/>
        <v>56583.529285714219</v>
      </c>
      <c r="G728" s="469">
        <f t="shared" si="65"/>
        <v>57992.247857142793</v>
      </c>
      <c r="H728" s="506">
        <f>+J702*G728+E728</f>
        <v>11514.318077477976</v>
      </c>
      <c r="I728" s="512">
        <f>+J703*G728+E728</f>
        <v>11514.318077477976</v>
      </c>
      <c r="J728" s="509">
        <f t="shared" si="66"/>
        <v>0</v>
      </c>
      <c r="K728" s="509"/>
      <c r="L728" s="513"/>
      <c r="M728" s="509">
        <f t="shared" si="67"/>
        <v>0</v>
      </c>
      <c r="N728" s="513"/>
      <c r="O728" s="509">
        <f t="shared" si="68"/>
        <v>0</v>
      </c>
      <c r="P728" s="509">
        <f t="shared" si="69"/>
        <v>0</v>
      </c>
      <c r="Q728" s="471"/>
    </row>
    <row r="729" spans="3:17">
      <c r="C729" s="505">
        <f>IF(D701="","-",+C728+1)</f>
        <v>2035</v>
      </c>
      <c r="D729" s="469">
        <f t="shared" si="70"/>
        <v>56583.529285714219</v>
      </c>
      <c r="E729" s="511">
        <f t="shared" si="71"/>
        <v>2817.437142857143</v>
      </c>
      <c r="F729" s="511">
        <f t="shared" si="64"/>
        <v>53766.092142857073</v>
      </c>
      <c r="G729" s="469">
        <f t="shared" si="65"/>
        <v>55174.810714285646</v>
      </c>
      <c r="H729" s="506">
        <f>+J702*G729+E729</f>
        <v>11091.797546241334</v>
      </c>
      <c r="I729" s="512">
        <f>+J703*G729+E729</f>
        <v>11091.797546241334</v>
      </c>
      <c r="J729" s="509">
        <f t="shared" si="66"/>
        <v>0</v>
      </c>
      <c r="K729" s="509"/>
      <c r="L729" s="513"/>
      <c r="M729" s="509">
        <f t="shared" si="67"/>
        <v>0</v>
      </c>
      <c r="N729" s="513"/>
      <c r="O729" s="509">
        <f t="shared" si="68"/>
        <v>0</v>
      </c>
      <c r="P729" s="509">
        <f t="shared" si="69"/>
        <v>0</v>
      </c>
      <c r="Q729" s="471"/>
    </row>
    <row r="730" spans="3:17">
      <c r="C730" s="505">
        <f>IF(D701="","-",+C729+1)</f>
        <v>2036</v>
      </c>
      <c r="D730" s="469">
        <f t="shared" si="70"/>
        <v>53766.092142857073</v>
      </c>
      <c r="E730" s="511">
        <f t="shared" si="71"/>
        <v>2817.437142857143</v>
      </c>
      <c r="F730" s="511">
        <f t="shared" si="64"/>
        <v>50948.654999999926</v>
      </c>
      <c r="G730" s="469">
        <f t="shared" si="65"/>
        <v>52357.373571428499</v>
      </c>
      <c r="H730" s="506">
        <f>+J702*G730+E730</f>
        <v>10669.277015004693</v>
      </c>
      <c r="I730" s="512">
        <f>+J703*G730+E730</f>
        <v>10669.277015004693</v>
      </c>
      <c r="J730" s="509">
        <f t="shared" si="66"/>
        <v>0</v>
      </c>
      <c r="K730" s="509"/>
      <c r="L730" s="513"/>
      <c r="M730" s="509">
        <f t="shared" si="67"/>
        <v>0</v>
      </c>
      <c r="N730" s="513"/>
      <c r="O730" s="509">
        <f t="shared" si="68"/>
        <v>0</v>
      </c>
      <c r="P730" s="509">
        <f t="shared" si="69"/>
        <v>0</v>
      </c>
      <c r="Q730" s="471"/>
    </row>
    <row r="731" spans="3:17">
      <c r="C731" s="505">
        <f>IF(D701="","-",+C730+1)</f>
        <v>2037</v>
      </c>
      <c r="D731" s="469">
        <f t="shared" si="70"/>
        <v>50948.654999999926</v>
      </c>
      <c r="E731" s="511">
        <f t="shared" si="71"/>
        <v>2817.437142857143</v>
      </c>
      <c r="F731" s="511">
        <f t="shared" si="64"/>
        <v>48131.217857142779</v>
      </c>
      <c r="G731" s="469">
        <f t="shared" si="65"/>
        <v>49539.936428571353</v>
      </c>
      <c r="H731" s="506">
        <f>+J702*G731+E731</f>
        <v>10246.756483768053</v>
      </c>
      <c r="I731" s="512">
        <f>+J703*G731+E731</f>
        <v>10246.756483768053</v>
      </c>
      <c r="J731" s="509">
        <f t="shared" si="66"/>
        <v>0</v>
      </c>
      <c r="K731" s="509"/>
      <c r="L731" s="513"/>
      <c r="M731" s="509">
        <f t="shared" si="67"/>
        <v>0</v>
      </c>
      <c r="N731" s="513"/>
      <c r="O731" s="509">
        <f t="shared" si="68"/>
        <v>0</v>
      </c>
      <c r="P731" s="509">
        <f t="shared" si="69"/>
        <v>0</v>
      </c>
      <c r="Q731" s="471"/>
    </row>
    <row r="732" spans="3:17">
      <c r="C732" s="505">
        <f>IF(D701="","-",+C731+1)</f>
        <v>2038</v>
      </c>
      <c r="D732" s="469">
        <f t="shared" si="70"/>
        <v>48131.217857142779</v>
      </c>
      <c r="E732" s="511">
        <f t="shared" si="71"/>
        <v>2817.437142857143</v>
      </c>
      <c r="F732" s="511">
        <f t="shared" si="64"/>
        <v>45313.780714285633</v>
      </c>
      <c r="G732" s="469">
        <f t="shared" si="65"/>
        <v>46722.499285714206</v>
      </c>
      <c r="H732" s="506">
        <f>+J702*G732+E732</f>
        <v>9824.2359525314132</v>
      </c>
      <c r="I732" s="512">
        <f>+J703*G732+E732</f>
        <v>9824.2359525314132</v>
      </c>
      <c r="J732" s="509">
        <f t="shared" si="66"/>
        <v>0</v>
      </c>
      <c r="K732" s="509"/>
      <c r="L732" s="513"/>
      <c r="M732" s="509">
        <f t="shared" si="67"/>
        <v>0</v>
      </c>
      <c r="N732" s="513"/>
      <c r="O732" s="509">
        <f t="shared" si="68"/>
        <v>0</v>
      </c>
      <c r="P732" s="509">
        <f t="shared" si="69"/>
        <v>0</v>
      </c>
      <c r="Q732" s="471"/>
    </row>
    <row r="733" spans="3:17">
      <c r="C733" s="505">
        <f>IF(D701="","-",+C732+1)</f>
        <v>2039</v>
      </c>
      <c r="D733" s="469">
        <f t="shared" si="70"/>
        <v>45313.780714285633</v>
      </c>
      <c r="E733" s="511">
        <f t="shared" si="71"/>
        <v>2817.437142857143</v>
      </c>
      <c r="F733" s="511">
        <f t="shared" si="64"/>
        <v>42496.343571428486</v>
      </c>
      <c r="G733" s="469">
        <f t="shared" si="65"/>
        <v>43905.062142857059</v>
      </c>
      <c r="H733" s="506">
        <f>+J702*G733+E733</f>
        <v>9401.7154212947717</v>
      </c>
      <c r="I733" s="512">
        <f>+J703*G733+E733</f>
        <v>9401.7154212947717</v>
      </c>
      <c r="J733" s="509">
        <f t="shared" si="66"/>
        <v>0</v>
      </c>
      <c r="K733" s="509"/>
      <c r="L733" s="513"/>
      <c r="M733" s="509">
        <f t="shared" si="67"/>
        <v>0</v>
      </c>
      <c r="N733" s="513"/>
      <c r="O733" s="509">
        <f t="shared" si="68"/>
        <v>0</v>
      </c>
      <c r="P733" s="509">
        <f t="shared" si="69"/>
        <v>0</v>
      </c>
      <c r="Q733" s="471"/>
    </row>
    <row r="734" spans="3:17">
      <c r="C734" s="505">
        <f>IF(D701="","-",+C733+1)</f>
        <v>2040</v>
      </c>
      <c r="D734" s="469">
        <f t="shared" si="70"/>
        <v>42496.343571428486</v>
      </c>
      <c r="E734" s="511">
        <f t="shared" si="71"/>
        <v>2817.437142857143</v>
      </c>
      <c r="F734" s="511">
        <f t="shared" si="64"/>
        <v>39678.906428571339</v>
      </c>
      <c r="G734" s="469">
        <f t="shared" si="65"/>
        <v>41087.624999999913</v>
      </c>
      <c r="H734" s="506">
        <f>+J702*G734+E734</f>
        <v>8979.1948900581301</v>
      </c>
      <c r="I734" s="512">
        <f>+J703*G734+E734</f>
        <v>8979.1948900581301</v>
      </c>
      <c r="J734" s="509">
        <f t="shared" si="66"/>
        <v>0</v>
      </c>
      <c r="K734" s="509"/>
      <c r="L734" s="513"/>
      <c r="M734" s="509">
        <f t="shared" si="67"/>
        <v>0</v>
      </c>
      <c r="N734" s="513"/>
      <c r="O734" s="509">
        <f t="shared" si="68"/>
        <v>0</v>
      </c>
      <c r="P734" s="509">
        <f t="shared" si="69"/>
        <v>0</v>
      </c>
      <c r="Q734" s="471"/>
    </row>
    <row r="735" spans="3:17">
      <c r="C735" s="505">
        <f>IF(D701="","-",+C734+1)</f>
        <v>2041</v>
      </c>
      <c r="D735" s="469">
        <f t="shared" si="70"/>
        <v>39678.906428571339</v>
      </c>
      <c r="E735" s="511">
        <f t="shared" si="71"/>
        <v>2817.437142857143</v>
      </c>
      <c r="F735" s="511">
        <f t="shared" si="64"/>
        <v>36861.469285714193</v>
      </c>
      <c r="G735" s="469">
        <f t="shared" si="65"/>
        <v>38270.187857142766</v>
      </c>
      <c r="H735" s="506">
        <f>+J702*G735+E735</f>
        <v>8556.6743588214904</v>
      </c>
      <c r="I735" s="512">
        <f>+J703*G735+E735</f>
        <v>8556.6743588214904</v>
      </c>
      <c r="J735" s="509">
        <f t="shared" si="66"/>
        <v>0</v>
      </c>
      <c r="K735" s="509"/>
      <c r="L735" s="513"/>
      <c r="M735" s="509">
        <f t="shared" si="67"/>
        <v>0</v>
      </c>
      <c r="N735" s="513"/>
      <c r="O735" s="509">
        <f t="shared" si="68"/>
        <v>0</v>
      </c>
      <c r="P735" s="509">
        <f t="shared" si="69"/>
        <v>0</v>
      </c>
      <c r="Q735" s="471"/>
    </row>
    <row r="736" spans="3:17">
      <c r="C736" s="505">
        <f>IF(D701="","-",+C735+1)</f>
        <v>2042</v>
      </c>
      <c r="D736" s="469">
        <f t="shared" si="70"/>
        <v>36861.469285714193</v>
      </c>
      <c r="E736" s="511">
        <f t="shared" si="71"/>
        <v>2817.437142857143</v>
      </c>
      <c r="F736" s="511">
        <f t="shared" si="64"/>
        <v>34044.032142857046</v>
      </c>
      <c r="G736" s="469">
        <f t="shared" si="65"/>
        <v>35452.750714285619</v>
      </c>
      <c r="H736" s="506">
        <f>+J702*G736+E736</f>
        <v>8134.1538275848498</v>
      </c>
      <c r="I736" s="512">
        <f>+J703*G736+E736</f>
        <v>8134.1538275848498</v>
      </c>
      <c r="J736" s="509">
        <f t="shared" si="66"/>
        <v>0</v>
      </c>
      <c r="K736" s="509"/>
      <c r="L736" s="513"/>
      <c r="M736" s="509">
        <f t="shared" si="67"/>
        <v>0</v>
      </c>
      <c r="N736" s="513"/>
      <c r="O736" s="509">
        <f t="shared" si="68"/>
        <v>0</v>
      </c>
      <c r="P736" s="509">
        <f t="shared" si="69"/>
        <v>0</v>
      </c>
      <c r="Q736" s="471"/>
    </row>
    <row r="737" spans="3:17">
      <c r="C737" s="505">
        <f>IF(D701="","-",+C736+1)</f>
        <v>2043</v>
      </c>
      <c r="D737" s="469">
        <f t="shared" si="70"/>
        <v>34044.032142857046</v>
      </c>
      <c r="E737" s="511">
        <f t="shared" si="71"/>
        <v>2817.437142857143</v>
      </c>
      <c r="F737" s="511">
        <f t="shared" si="64"/>
        <v>31226.594999999903</v>
      </c>
      <c r="G737" s="469">
        <f t="shared" si="65"/>
        <v>32635.313571428473</v>
      </c>
      <c r="H737" s="506">
        <f>+J702*G737+E737</f>
        <v>7711.6332963482091</v>
      </c>
      <c r="I737" s="512">
        <f>+J703*G737+E737</f>
        <v>7711.6332963482091</v>
      </c>
      <c r="J737" s="509">
        <f t="shared" si="66"/>
        <v>0</v>
      </c>
      <c r="K737" s="509"/>
      <c r="L737" s="513"/>
      <c r="M737" s="509">
        <f t="shared" si="67"/>
        <v>0</v>
      </c>
      <c r="N737" s="513"/>
      <c r="O737" s="509">
        <f t="shared" si="68"/>
        <v>0</v>
      </c>
      <c r="P737" s="509">
        <f t="shared" si="69"/>
        <v>0</v>
      </c>
      <c r="Q737" s="471"/>
    </row>
    <row r="738" spans="3:17">
      <c r="C738" s="505">
        <f>IF(D701="","-",+C737+1)</f>
        <v>2044</v>
      </c>
      <c r="D738" s="469">
        <f t="shared" si="70"/>
        <v>31226.594999999903</v>
      </c>
      <c r="E738" s="511">
        <f t="shared" si="71"/>
        <v>2817.437142857143</v>
      </c>
      <c r="F738" s="511">
        <f t="shared" si="64"/>
        <v>28409.15785714276</v>
      </c>
      <c r="G738" s="469">
        <f t="shared" si="65"/>
        <v>29817.876428571333</v>
      </c>
      <c r="H738" s="506">
        <f>+J702*G738+E738</f>
        <v>7289.1127651115694</v>
      </c>
      <c r="I738" s="512">
        <f>+J703*G738+E738</f>
        <v>7289.1127651115694</v>
      </c>
      <c r="J738" s="509">
        <f t="shared" si="66"/>
        <v>0</v>
      </c>
      <c r="K738" s="509"/>
      <c r="L738" s="513"/>
      <c r="M738" s="509">
        <f t="shared" si="67"/>
        <v>0</v>
      </c>
      <c r="N738" s="513"/>
      <c r="O738" s="509">
        <f t="shared" si="68"/>
        <v>0</v>
      </c>
      <c r="P738" s="509">
        <f t="shared" si="69"/>
        <v>0</v>
      </c>
      <c r="Q738" s="471"/>
    </row>
    <row r="739" spans="3:17">
      <c r="C739" s="505">
        <f>IF(D701="","-",+C738+1)</f>
        <v>2045</v>
      </c>
      <c r="D739" s="469">
        <f t="shared" si="70"/>
        <v>28409.15785714276</v>
      </c>
      <c r="E739" s="511">
        <f t="shared" si="71"/>
        <v>2817.437142857143</v>
      </c>
      <c r="F739" s="511">
        <f t="shared" si="64"/>
        <v>25591.720714285617</v>
      </c>
      <c r="G739" s="469">
        <f t="shared" si="65"/>
        <v>27000.439285714187</v>
      </c>
      <c r="H739" s="506">
        <f>+J702*G739+E739</f>
        <v>6866.5922338749297</v>
      </c>
      <c r="I739" s="512">
        <f>+J703*G739+E739</f>
        <v>6866.5922338749297</v>
      </c>
      <c r="J739" s="509">
        <f t="shared" si="66"/>
        <v>0</v>
      </c>
      <c r="K739" s="509"/>
      <c r="L739" s="513"/>
      <c r="M739" s="509">
        <f t="shared" si="67"/>
        <v>0</v>
      </c>
      <c r="N739" s="513"/>
      <c r="O739" s="509">
        <f t="shared" si="68"/>
        <v>0</v>
      </c>
      <c r="P739" s="509">
        <f t="shared" si="69"/>
        <v>0</v>
      </c>
      <c r="Q739" s="471"/>
    </row>
    <row r="740" spans="3:17">
      <c r="C740" s="505">
        <f>IF(D701="","-",+C739+1)</f>
        <v>2046</v>
      </c>
      <c r="D740" s="469">
        <f t="shared" si="70"/>
        <v>25591.720714285617</v>
      </c>
      <c r="E740" s="511">
        <f t="shared" si="71"/>
        <v>2817.437142857143</v>
      </c>
      <c r="F740" s="511">
        <f t="shared" si="64"/>
        <v>22774.283571428474</v>
      </c>
      <c r="G740" s="469">
        <f t="shared" si="65"/>
        <v>24183.002142857047</v>
      </c>
      <c r="H740" s="506">
        <f>+J702*G740+E740</f>
        <v>6444.0717026382899</v>
      </c>
      <c r="I740" s="512">
        <f>+J703*G740+E740</f>
        <v>6444.0717026382899</v>
      </c>
      <c r="J740" s="509">
        <f t="shared" si="66"/>
        <v>0</v>
      </c>
      <c r="K740" s="509"/>
      <c r="L740" s="513"/>
      <c r="M740" s="509">
        <f t="shared" si="67"/>
        <v>0</v>
      </c>
      <c r="N740" s="513"/>
      <c r="O740" s="509">
        <f t="shared" si="68"/>
        <v>0</v>
      </c>
      <c r="P740" s="509">
        <f t="shared" si="69"/>
        <v>0</v>
      </c>
      <c r="Q740" s="471"/>
    </row>
    <row r="741" spans="3:17">
      <c r="C741" s="505">
        <f>IF(D701="","-",+C740+1)</f>
        <v>2047</v>
      </c>
      <c r="D741" s="469">
        <f t="shared" si="70"/>
        <v>22774.283571428474</v>
      </c>
      <c r="E741" s="511">
        <f t="shared" si="71"/>
        <v>2817.437142857143</v>
      </c>
      <c r="F741" s="511">
        <f t="shared" si="64"/>
        <v>19956.846428571331</v>
      </c>
      <c r="G741" s="469">
        <f t="shared" si="65"/>
        <v>21365.5649999999</v>
      </c>
      <c r="H741" s="506">
        <f>+J702*G741+E741</f>
        <v>6021.5511714016484</v>
      </c>
      <c r="I741" s="512">
        <f>+J703*G741+E741</f>
        <v>6021.5511714016484</v>
      </c>
      <c r="J741" s="509">
        <f t="shared" si="66"/>
        <v>0</v>
      </c>
      <c r="K741" s="509"/>
      <c r="L741" s="513"/>
      <c r="M741" s="509">
        <f t="shared" si="67"/>
        <v>0</v>
      </c>
      <c r="N741" s="513"/>
      <c r="O741" s="509">
        <f t="shared" si="68"/>
        <v>0</v>
      </c>
      <c r="P741" s="509">
        <f t="shared" si="69"/>
        <v>0</v>
      </c>
      <c r="Q741" s="471"/>
    </row>
    <row r="742" spans="3:17">
      <c r="C742" s="505">
        <f>IF(D701="","-",+C741+1)</f>
        <v>2048</v>
      </c>
      <c r="D742" s="469">
        <f t="shared" si="70"/>
        <v>19956.846428571331</v>
      </c>
      <c r="E742" s="511">
        <f t="shared" si="71"/>
        <v>2817.437142857143</v>
      </c>
      <c r="F742" s="511">
        <f t="shared" si="64"/>
        <v>17139.409285714188</v>
      </c>
      <c r="G742" s="469">
        <f t="shared" si="65"/>
        <v>18548.127857142761</v>
      </c>
      <c r="H742" s="506">
        <f>+J702*G742+E742</f>
        <v>5599.0306401650087</v>
      </c>
      <c r="I742" s="512">
        <f>+J703*G742+E742</f>
        <v>5599.0306401650087</v>
      </c>
      <c r="J742" s="509">
        <f t="shared" si="66"/>
        <v>0</v>
      </c>
      <c r="K742" s="509"/>
      <c r="L742" s="513"/>
      <c r="M742" s="509">
        <f t="shared" si="67"/>
        <v>0</v>
      </c>
      <c r="N742" s="513"/>
      <c r="O742" s="509">
        <f t="shared" si="68"/>
        <v>0</v>
      </c>
      <c r="P742" s="509">
        <f t="shared" si="69"/>
        <v>0</v>
      </c>
      <c r="Q742" s="471"/>
    </row>
    <row r="743" spans="3:17">
      <c r="C743" s="505">
        <f>IF(D701="","-",+C742+1)</f>
        <v>2049</v>
      </c>
      <c r="D743" s="469">
        <f t="shared" si="70"/>
        <v>17139.409285714188</v>
      </c>
      <c r="E743" s="511">
        <f t="shared" si="71"/>
        <v>2817.437142857143</v>
      </c>
      <c r="F743" s="511">
        <f t="shared" si="64"/>
        <v>14321.972142857045</v>
      </c>
      <c r="G743" s="469">
        <f t="shared" si="65"/>
        <v>15730.690714285616</v>
      </c>
      <c r="H743" s="506">
        <f>+J702*G743+E743</f>
        <v>5176.5101089283689</v>
      </c>
      <c r="I743" s="512">
        <f>+J703*G743+E743</f>
        <v>5176.5101089283689</v>
      </c>
      <c r="J743" s="509">
        <f t="shared" si="66"/>
        <v>0</v>
      </c>
      <c r="K743" s="509"/>
      <c r="L743" s="513"/>
      <c r="M743" s="509">
        <f t="shared" si="67"/>
        <v>0</v>
      </c>
      <c r="N743" s="513"/>
      <c r="O743" s="509">
        <f t="shared" si="68"/>
        <v>0</v>
      </c>
      <c r="P743" s="509">
        <f t="shared" si="69"/>
        <v>0</v>
      </c>
      <c r="Q743" s="471"/>
    </row>
    <row r="744" spans="3:17">
      <c r="C744" s="505">
        <f>IF(D701="","-",+C743+1)</f>
        <v>2050</v>
      </c>
      <c r="D744" s="469">
        <f t="shared" si="70"/>
        <v>14321.972142857045</v>
      </c>
      <c r="E744" s="511">
        <f t="shared" si="71"/>
        <v>2817.437142857143</v>
      </c>
      <c r="F744" s="511">
        <f t="shared" si="64"/>
        <v>11504.534999999902</v>
      </c>
      <c r="G744" s="469">
        <f t="shared" si="65"/>
        <v>12913.253571428473</v>
      </c>
      <c r="H744" s="506">
        <f>+J702*G744+E744</f>
        <v>4753.9895776917292</v>
      </c>
      <c r="I744" s="512">
        <f>+J703*G744+E744</f>
        <v>4753.9895776917292</v>
      </c>
      <c r="J744" s="509">
        <f t="shared" si="66"/>
        <v>0</v>
      </c>
      <c r="K744" s="509"/>
      <c r="L744" s="513"/>
      <c r="M744" s="509">
        <f t="shared" si="67"/>
        <v>0</v>
      </c>
      <c r="N744" s="513"/>
      <c r="O744" s="509">
        <f t="shared" si="68"/>
        <v>0</v>
      </c>
      <c r="P744" s="509">
        <f t="shared" si="69"/>
        <v>0</v>
      </c>
      <c r="Q744" s="471"/>
    </row>
    <row r="745" spans="3:17">
      <c r="C745" s="505">
        <f>IF(D701="","-",+C744+1)</f>
        <v>2051</v>
      </c>
      <c r="D745" s="469">
        <f t="shared" si="70"/>
        <v>11504.534999999902</v>
      </c>
      <c r="E745" s="511">
        <f t="shared" si="71"/>
        <v>2817.437142857143</v>
      </c>
      <c r="F745" s="511">
        <f t="shared" si="64"/>
        <v>8687.0978571427586</v>
      </c>
      <c r="G745" s="469">
        <f t="shared" si="65"/>
        <v>10095.81642857133</v>
      </c>
      <c r="H745" s="506">
        <f>+J702*G745+E745</f>
        <v>4331.4690464550886</v>
      </c>
      <c r="I745" s="512">
        <f>+J703*G745+E745</f>
        <v>4331.4690464550886</v>
      </c>
      <c r="J745" s="509">
        <f t="shared" si="66"/>
        <v>0</v>
      </c>
      <c r="K745" s="509"/>
      <c r="L745" s="513"/>
      <c r="M745" s="509">
        <f t="shared" si="67"/>
        <v>0</v>
      </c>
      <c r="N745" s="513"/>
      <c r="O745" s="509">
        <f t="shared" si="68"/>
        <v>0</v>
      </c>
      <c r="P745" s="509">
        <f t="shared" si="69"/>
        <v>0</v>
      </c>
      <c r="Q745" s="471"/>
    </row>
    <row r="746" spans="3:17">
      <c r="C746" s="505">
        <f>IF(D701="","-",+C745+1)</f>
        <v>2052</v>
      </c>
      <c r="D746" s="469">
        <f t="shared" si="70"/>
        <v>8687.0978571427586</v>
      </c>
      <c r="E746" s="511">
        <f t="shared" si="71"/>
        <v>2817.437142857143</v>
      </c>
      <c r="F746" s="511">
        <f t="shared" si="64"/>
        <v>5869.6607142856155</v>
      </c>
      <c r="G746" s="469">
        <f t="shared" si="65"/>
        <v>7278.3792857141871</v>
      </c>
      <c r="H746" s="506">
        <f>+J702*G746+E746</f>
        <v>3908.9485152184484</v>
      </c>
      <c r="I746" s="512">
        <f>+J703*G746+E746</f>
        <v>3908.9485152184484</v>
      </c>
      <c r="J746" s="509">
        <f t="shared" si="66"/>
        <v>0</v>
      </c>
      <c r="K746" s="509"/>
      <c r="L746" s="513"/>
      <c r="M746" s="509">
        <f t="shared" si="67"/>
        <v>0</v>
      </c>
      <c r="N746" s="513"/>
      <c r="O746" s="509">
        <f t="shared" si="68"/>
        <v>0</v>
      </c>
      <c r="P746" s="509">
        <f t="shared" si="69"/>
        <v>0</v>
      </c>
      <c r="Q746" s="471"/>
    </row>
    <row r="747" spans="3:17">
      <c r="C747" s="505">
        <f>IF(D701="","-",+C746+1)</f>
        <v>2053</v>
      </c>
      <c r="D747" s="469">
        <f t="shared" si="70"/>
        <v>5869.6607142856155</v>
      </c>
      <c r="E747" s="511">
        <f t="shared" si="71"/>
        <v>2817.437142857143</v>
      </c>
      <c r="F747" s="511">
        <f t="shared" si="64"/>
        <v>3052.2235714284725</v>
      </c>
      <c r="G747" s="469">
        <f t="shared" si="65"/>
        <v>4460.942142857044</v>
      </c>
      <c r="H747" s="506">
        <f>+J702*G747+E747</f>
        <v>3486.4279839818082</v>
      </c>
      <c r="I747" s="512">
        <f>+J703*G747+E747</f>
        <v>3486.4279839818082</v>
      </c>
      <c r="J747" s="509">
        <f t="shared" si="66"/>
        <v>0</v>
      </c>
      <c r="K747" s="509"/>
      <c r="L747" s="513"/>
      <c r="M747" s="509">
        <f t="shared" si="67"/>
        <v>0</v>
      </c>
      <c r="N747" s="513"/>
      <c r="O747" s="509">
        <f t="shared" si="68"/>
        <v>0</v>
      </c>
      <c r="P747" s="509">
        <f t="shared" si="69"/>
        <v>0</v>
      </c>
      <c r="Q747" s="471"/>
    </row>
    <row r="748" spans="3:17">
      <c r="C748" s="505">
        <f>IF(D701="","-",+C747+1)</f>
        <v>2054</v>
      </c>
      <c r="D748" s="469">
        <f t="shared" si="70"/>
        <v>3052.2235714284725</v>
      </c>
      <c r="E748" s="511">
        <f t="shared" si="71"/>
        <v>2817.437142857143</v>
      </c>
      <c r="F748" s="511">
        <f t="shared" si="64"/>
        <v>234.78642857132945</v>
      </c>
      <c r="G748" s="469">
        <f t="shared" si="65"/>
        <v>1643.504999999901</v>
      </c>
      <c r="H748" s="506">
        <f>+J702*G748+E748</f>
        <v>3063.9074527451685</v>
      </c>
      <c r="I748" s="512">
        <f>+J703*G748+E748</f>
        <v>3063.9074527451685</v>
      </c>
      <c r="J748" s="509">
        <f t="shared" si="66"/>
        <v>0</v>
      </c>
      <c r="K748" s="509"/>
      <c r="L748" s="513"/>
      <c r="M748" s="509">
        <f t="shared" si="67"/>
        <v>0</v>
      </c>
      <c r="N748" s="513"/>
      <c r="O748" s="509">
        <f t="shared" si="68"/>
        <v>0</v>
      </c>
      <c r="P748" s="509">
        <f t="shared" si="69"/>
        <v>0</v>
      </c>
      <c r="Q748" s="471"/>
    </row>
    <row r="749" spans="3:17">
      <c r="C749" s="505">
        <f>IF(D701="","-",+C748+1)</f>
        <v>2055</v>
      </c>
      <c r="D749" s="469">
        <f t="shared" si="70"/>
        <v>234.78642857132945</v>
      </c>
      <c r="E749" s="511">
        <f t="shared" si="71"/>
        <v>234.78642857132945</v>
      </c>
      <c r="F749" s="511">
        <f t="shared" si="64"/>
        <v>0</v>
      </c>
      <c r="G749" s="469">
        <f t="shared" si="65"/>
        <v>117.39321428566473</v>
      </c>
      <c r="H749" s="506">
        <f>+J702*G749+E749</f>
        <v>252.39145070618201</v>
      </c>
      <c r="I749" s="512">
        <f>+J703*G749+E749</f>
        <v>252.39145070618201</v>
      </c>
      <c r="J749" s="509">
        <f t="shared" si="66"/>
        <v>0</v>
      </c>
      <c r="K749" s="509"/>
      <c r="L749" s="513"/>
      <c r="M749" s="509">
        <f t="shared" si="67"/>
        <v>0</v>
      </c>
      <c r="N749" s="513"/>
      <c r="O749" s="509">
        <f t="shared" si="68"/>
        <v>0</v>
      </c>
      <c r="P749" s="509">
        <f t="shared" si="69"/>
        <v>0</v>
      </c>
      <c r="Q749" s="471"/>
    </row>
    <row r="750" spans="3:17">
      <c r="C750" s="505">
        <f>IF(D701="","-",+C749+1)</f>
        <v>2056</v>
      </c>
      <c r="D750" s="469">
        <f t="shared" si="70"/>
        <v>0</v>
      </c>
      <c r="E750" s="511">
        <f t="shared" si="71"/>
        <v>0</v>
      </c>
      <c r="F750" s="511">
        <f t="shared" si="64"/>
        <v>0</v>
      </c>
      <c r="G750" s="469">
        <f t="shared" si="65"/>
        <v>0</v>
      </c>
      <c r="H750" s="506">
        <f>+J702*G750+E750</f>
        <v>0</v>
      </c>
      <c r="I750" s="512">
        <f>+J703*G750+E750</f>
        <v>0</v>
      </c>
      <c r="J750" s="509">
        <f t="shared" si="66"/>
        <v>0</v>
      </c>
      <c r="K750" s="509"/>
      <c r="L750" s="513"/>
      <c r="M750" s="509">
        <f t="shared" si="67"/>
        <v>0</v>
      </c>
      <c r="N750" s="513"/>
      <c r="O750" s="509">
        <f t="shared" si="68"/>
        <v>0</v>
      </c>
      <c r="P750" s="509">
        <f t="shared" si="69"/>
        <v>0</v>
      </c>
      <c r="Q750" s="471"/>
    </row>
    <row r="751" spans="3:17">
      <c r="C751" s="505">
        <f>IF(D701="","-",+C750+1)</f>
        <v>2057</v>
      </c>
      <c r="D751" s="469">
        <f t="shared" si="70"/>
        <v>0</v>
      </c>
      <c r="E751" s="511">
        <f t="shared" si="71"/>
        <v>0</v>
      </c>
      <c r="F751" s="511">
        <f t="shared" si="64"/>
        <v>0</v>
      </c>
      <c r="G751" s="469">
        <f t="shared" si="65"/>
        <v>0</v>
      </c>
      <c r="H751" s="506">
        <f>+J702*G751+E751</f>
        <v>0</v>
      </c>
      <c r="I751" s="512">
        <f>+J703*G751+E751</f>
        <v>0</v>
      </c>
      <c r="J751" s="509">
        <f t="shared" si="66"/>
        <v>0</v>
      </c>
      <c r="K751" s="509"/>
      <c r="L751" s="513"/>
      <c r="M751" s="509">
        <f t="shared" si="67"/>
        <v>0</v>
      </c>
      <c r="N751" s="513"/>
      <c r="O751" s="509">
        <f t="shared" si="68"/>
        <v>0</v>
      </c>
      <c r="P751" s="509">
        <f t="shared" si="69"/>
        <v>0</v>
      </c>
      <c r="Q751" s="471"/>
    </row>
    <row r="752" spans="3:17">
      <c r="C752" s="505">
        <f>IF(D701="","-",+C751+1)</f>
        <v>2058</v>
      </c>
      <c r="D752" s="469">
        <f t="shared" si="70"/>
        <v>0</v>
      </c>
      <c r="E752" s="511">
        <f t="shared" si="71"/>
        <v>0</v>
      </c>
      <c r="F752" s="511">
        <f t="shared" si="64"/>
        <v>0</v>
      </c>
      <c r="G752" s="469">
        <f t="shared" si="65"/>
        <v>0</v>
      </c>
      <c r="H752" s="506">
        <f>+J702*G752+E752</f>
        <v>0</v>
      </c>
      <c r="I752" s="512">
        <f>+J703*G752+E752</f>
        <v>0</v>
      </c>
      <c r="J752" s="509">
        <f t="shared" si="66"/>
        <v>0</v>
      </c>
      <c r="K752" s="509"/>
      <c r="L752" s="513"/>
      <c r="M752" s="509">
        <f t="shared" si="67"/>
        <v>0</v>
      </c>
      <c r="N752" s="513"/>
      <c r="O752" s="509">
        <f t="shared" si="68"/>
        <v>0</v>
      </c>
      <c r="P752" s="509">
        <f t="shared" si="69"/>
        <v>0</v>
      </c>
      <c r="Q752" s="471"/>
    </row>
    <row r="753" spans="3:17">
      <c r="C753" s="505">
        <f>IF(D701="","-",+C752+1)</f>
        <v>2059</v>
      </c>
      <c r="D753" s="469">
        <f t="shared" si="70"/>
        <v>0</v>
      </c>
      <c r="E753" s="511">
        <f t="shared" si="71"/>
        <v>0</v>
      </c>
      <c r="F753" s="511">
        <f t="shared" si="64"/>
        <v>0</v>
      </c>
      <c r="G753" s="469">
        <f t="shared" si="65"/>
        <v>0</v>
      </c>
      <c r="H753" s="506">
        <f>+J702*G753+E753</f>
        <v>0</v>
      </c>
      <c r="I753" s="512">
        <f>+J703*G753+E753</f>
        <v>0</v>
      </c>
      <c r="J753" s="509">
        <f t="shared" si="66"/>
        <v>0</v>
      </c>
      <c r="K753" s="509"/>
      <c r="L753" s="513"/>
      <c r="M753" s="509">
        <f t="shared" si="67"/>
        <v>0</v>
      </c>
      <c r="N753" s="513"/>
      <c r="O753" s="509">
        <f t="shared" si="68"/>
        <v>0</v>
      </c>
      <c r="P753" s="509">
        <f t="shared" si="69"/>
        <v>0</v>
      </c>
      <c r="Q753" s="471"/>
    </row>
    <row r="754" spans="3:17">
      <c r="C754" s="505">
        <f>IF(D701="","-",+C753+1)</f>
        <v>2060</v>
      </c>
      <c r="D754" s="469">
        <f t="shared" si="70"/>
        <v>0</v>
      </c>
      <c r="E754" s="511">
        <f t="shared" si="71"/>
        <v>0</v>
      </c>
      <c r="F754" s="511">
        <f t="shared" si="64"/>
        <v>0</v>
      </c>
      <c r="G754" s="469">
        <f t="shared" si="65"/>
        <v>0</v>
      </c>
      <c r="H754" s="506">
        <f>+J702*G754+E754</f>
        <v>0</v>
      </c>
      <c r="I754" s="512">
        <f>+J703*G754+E754</f>
        <v>0</v>
      </c>
      <c r="J754" s="509">
        <f t="shared" si="66"/>
        <v>0</v>
      </c>
      <c r="K754" s="509"/>
      <c r="L754" s="513"/>
      <c r="M754" s="509">
        <f t="shared" si="67"/>
        <v>0</v>
      </c>
      <c r="N754" s="513"/>
      <c r="O754" s="509">
        <f t="shared" si="68"/>
        <v>0</v>
      </c>
      <c r="P754" s="509">
        <f t="shared" si="69"/>
        <v>0</v>
      </c>
      <c r="Q754" s="471"/>
    </row>
    <row r="755" spans="3:17">
      <c r="C755" s="505">
        <f>IF(D701="","-",+C754+1)</f>
        <v>2061</v>
      </c>
      <c r="D755" s="469">
        <f t="shared" si="70"/>
        <v>0</v>
      </c>
      <c r="E755" s="511">
        <f t="shared" si="71"/>
        <v>0</v>
      </c>
      <c r="F755" s="511">
        <f t="shared" si="64"/>
        <v>0</v>
      </c>
      <c r="G755" s="469">
        <f t="shared" si="65"/>
        <v>0</v>
      </c>
      <c r="H755" s="506">
        <f>+J702*G755+E755</f>
        <v>0</v>
      </c>
      <c r="I755" s="512">
        <f>+J703*G755+E755</f>
        <v>0</v>
      </c>
      <c r="J755" s="509">
        <f t="shared" si="66"/>
        <v>0</v>
      </c>
      <c r="K755" s="509"/>
      <c r="L755" s="513"/>
      <c r="M755" s="509">
        <f t="shared" si="67"/>
        <v>0</v>
      </c>
      <c r="N755" s="513"/>
      <c r="O755" s="509">
        <f t="shared" si="68"/>
        <v>0</v>
      </c>
      <c r="P755" s="509">
        <f t="shared" si="69"/>
        <v>0</v>
      </c>
      <c r="Q755" s="471"/>
    </row>
    <row r="756" spans="3:17">
      <c r="C756" s="505">
        <f>IF(D701="","-",+C755+1)</f>
        <v>2062</v>
      </c>
      <c r="D756" s="469">
        <f t="shared" si="70"/>
        <v>0</v>
      </c>
      <c r="E756" s="511">
        <f t="shared" si="71"/>
        <v>0</v>
      </c>
      <c r="F756" s="511">
        <f t="shared" si="64"/>
        <v>0</v>
      </c>
      <c r="G756" s="469">
        <f t="shared" si="65"/>
        <v>0</v>
      </c>
      <c r="H756" s="506">
        <f>+J702*G756+E756</f>
        <v>0</v>
      </c>
      <c r="I756" s="512">
        <f>+J703*G756+E756</f>
        <v>0</v>
      </c>
      <c r="J756" s="509">
        <f t="shared" si="66"/>
        <v>0</v>
      </c>
      <c r="K756" s="509"/>
      <c r="L756" s="513"/>
      <c r="M756" s="509">
        <f t="shared" si="67"/>
        <v>0</v>
      </c>
      <c r="N756" s="513"/>
      <c r="O756" s="509">
        <f t="shared" si="68"/>
        <v>0</v>
      </c>
      <c r="P756" s="509">
        <f t="shared" si="69"/>
        <v>0</v>
      </c>
      <c r="Q756" s="471"/>
    </row>
    <row r="757" spans="3:17">
      <c r="C757" s="505">
        <f>IF(D701="","-",+C756+1)</f>
        <v>2063</v>
      </c>
      <c r="D757" s="469">
        <f t="shared" si="70"/>
        <v>0</v>
      </c>
      <c r="E757" s="511">
        <f t="shared" si="71"/>
        <v>0</v>
      </c>
      <c r="F757" s="511">
        <f t="shared" si="64"/>
        <v>0</v>
      </c>
      <c r="G757" s="469">
        <f t="shared" si="65"/>
        <v>0</v>
      </c>
      <c r="H757" s="506">
        <f>+J702*G757+E757</f>
        <v>0</v>
      </c>
      <c r="I757" s="512">
        <f>+J703*G757+E757</f>
        <v>0</v>
      </c>
      <c r="J757" s="509">
        <f t="shared" si="66"/>
        <v>0</v>
      </c>
      <c r="K757" s="509"/>
      <c r="L757" s="513"/>
      <c r="M757" s="509">
        <f t="shared" si="67"/>
        <v>0</v>
      </c>
      <c r="N757" s="513"/>
      <c r="O757" s="509">
        <f t="shared" si="68"/>
        <v>0</v>
      </c>
      <c r="P757" s="509">
        <f t="shared" si="69"/>
        <v>0</v>
      </c>
      <c r="Q757" s="471"/>
    </row>
    <row r="758" spans="3:17">
      <c r="C758" s="505">
        <f>IF(D701="","-",+C757+1)</f>
        <v>2064</v>
      </c>
      <c r="D758" s="469">
        <f t="shared" si="70"/>
        <v>0</v>
      </c>
      <c r="E758" s="511">
        <f t="shared" si="71"/>
        <v>0</v>
      </c>
      <c r="F758" s="511">
        <f t="shared" si="64"/>
        <v>0</v>
      </c>
      <c r="G758" s="469">
        <f t="shared" si="65"/>
        <v>0</v>
      </c>
      <c r="H758" s="506">
        <f>+J702*G758+E758</f>
        <v>0</v>
      </c>
      <c r="I758" s="512">
        <f>+J703*G758+E758</f>
        <v>0</v>
      </c>
      <c r="J758" s="509">
        <f t="shared" si="66"/>
        <v>0</v>
      </c>
      <c r="K758" s="509"/>
      <c r="L758" s="513"/>
      <c r="M758" s="509">
        <f t="shared" si="67"/>
        <v>0</v>
      </c>
      <c r="N758" s="513"/>
      <c r="O758" s="509">
        <f t="shared" si="68"/>
        <v>0</v>
      </c>
      <c r="P758" s="509">
        <f t="shared" si="69"/>
        <v>0</v>
      </c>
      <c r="Q758" s="471"/>
    </row>
    <row r="759" spans="3:17">
      <c r="C759" s="505">
        <f>IF(D701="","-",+C758+1)</f>
        <v>2065</v>
      </c>
      <c r="D759" s="469">
        <f t="shared" si="70"/>
        <v>0</v>
      </c>
      <c r="E759" s="511">
        <f t="shared" si="71"/>
        <v>0</v>
      </c>
      <c r="F759" s="511">
        <f t="shared" si="64"/>
        <v>0</v>
      </c>
      <c r="G759" s="469">
        <f t="shared" si="65"/>
        <v>0</v>
      </c>
      <c r="H759" s="506">
        <f>+J702*G759+E759</f>
        <v>0</v>
      </c>
      <c r="I759" s="512">
        <f>+J703*G759+E759</f>
        <v>0</v>
      </c>
      <c r="J759" s="509">
        <f t="shared" si="66"/>
        <v>0</v>
      </c>
      <c r="K759" s="509"/>
      <c r="L759" s="513"/>
      <c r="M759" s="509">
        <f t="shared" si="67"/>
        <v>0</v>
      </c>
      <c r="N759" s="513"/>
      <c r="O759" s="509">
        <f t="shared" si="68"/>
        <v>0</v>
      </c>
      <c r="P759" s="509">
        <f t="shared" si="69"/>
        <v>0</v>
      </c>
      <c r="Q759" s="471"/>
    </row>
    <row r="760" spans="3:17">
      <c r="C760" s="505">
        <f>IF(D701="","-",+C759+1)</f>
        <v>2066</v>
      </c>
      <c r="D760" s="469">
        <f t="shared" si="70"/>
        <v>0</v>
      </c>
      <c r="E760" s="511">
        <f t="shared" si="71"/>
        <v>0</v>
      </c>
      <c r="F760" s="511">
        <f t="shared" si="64"/>
        <v>0</v>
      </c>
      <c r="G760" s="469">
        <f t="shared" si="65"/>
        <v>0</v>
      </c>
      <c r="H760" s="506">
        <f>+J702*G760+E760</f>
        <v>0</v>
      </c>
      <c r="I760" s="512">
        <f>+J703*G760+E760</f>
        <v>0</v>
      </c>
      <c r="J760" s="509">
        <f t="shared" si="66"/>
        <v>0</v>
      </c>
      <c r="K760" s="509"/>
      <c r="L760" s="513"/>
      <c r="M760" s="509">
        <f t="shared" si="67"/>
        <v>0</v>
      </c>
      <c r="N760" s="513"/>
      <c r="O760" s="509">
        <f t="shared" si="68"/>
        <v>0</v>
      </c>
      <c r="P760" s="509">
        <f t="shared" si="69"/>
        <v>0</v>
      </c>
      <c r="Q760" s="471"/>
    </row>
    <row r="761" spans="3:17">
      <c r="C761" s="505">
        <f>IF(D701="","-",+C760+1)</f>
        <v>2067</v>
      </c>
      <c r="D761" s="469">
        <f t="shared" si="70"/>
        <v>0</v>
      </c>
      <c r="E761" s="511">
        <f t="shared" si="71"/>
        <v>0</v>
      </c>
      <c r="F761" s="511">
        <f t="shared" si="64"/>
        <v>0</v>
      </c>
      <c r="G761" s="469">
        <f t="shared" si="65"/>
        <v>0</v>
      </c>
      <c r="H761" s="506">
        <f>+J702*G761+E761</f>
        <v>0</v>
      </c>
      <c r="I761" s="512">
        <f>+J703*G761+E761</f>
        <v>0</v>
      </c>
      <c r="J761" s="509">
        <f t="shared" si="66"/>
        <v>0</v>
      </c>
      <c r="K761" s="509"/>
      <c r="L761" s="513"/>
      <c r="M761" s="509">
        <f t="shared" si="67"/>
        <v>0</v>
      </c>
      <c r="N761" s="513"/>
      <c r="O761" s="509">
        <f t="shared" si="68"/>
        <v>0</v>
      </c>
      <c r="P761" s="509">
        <f t="shared" si="69"/>
        <v>0</v>
      </c>
      <c r="Q761" s="471"/>
    </row>
    <row r="762" spans="3:17">
      <c r="C762" s="505">
        <f>IF(D701="","-",+C761+1)</f>
        <v>2068</v>
      </c>
      <c r="D762" s="469">
        <f t="shared" si="70"/>
        <v>0</v>
      </c>
      <c r="E762" s="511">
        <f t="shared" si="71"/>
        <v>0</v>
      </c>
      <c r="F762" s="511">
        <f t="shared" si="64"/>
        <v>0</v>
      </c>
      <c r="G762" s="469">
        <f t="shared" si="65"/>
        <v>0</v>
      </c>
      <c r="H762" s="506">
        <f>+J702*G762+E762</f>
        <v>0</v>
      </c>
      <c r="I762" s="512">
        <f>+J703*G762+E762</f>
        <v>0</v>
      </c>
      <c r="J762" s="509">
        <f t="shared" si="66"/>
        <v>0</v>
      </c>
      <c r="K762" s="509"/>
      <c r="L762" s="513"/>
      <c r="M762" s="509">
        <f t="shared" si="67"/>
        <v>0</v>
      </c>
      <c r="N762" s="513"/>
      <c r="O762" s="509">
        <f t="shared" si="68"/>
        <v>0</v>
      </c>
      <c r="P762" s="509">
        <f t="shared" si="69"/>
        <v>0</v>
      </c>
      <c r="Q762" s="471"/>
    </row>
    <row r="763" spans="3:17">
      <c r="C763" s="505">
        <f>IF(D701="","-",+C762+1)</f>
        <v>2069</v>
      </c>
      <c r="D763" s="469">
        <f t="shared" si="70"/>
        <v>0</v>
      </c>
      <c r="E763" s="511">
        <f t="shared" si="71"/>
        <v>0</v>
      </c>
      <c r="F763" s="511">
        <f t="shared" si="64"/>
        <v>0</v>
      </c>
      <c r="G763" s="469">
        <f t="shared" si="65"/>
        <v>0</v>
      </c>
      <c r="H763" s="506">
        <f>+J702*G763+E763</f>
        <v>0</v>
      </c>
      <c r="I763" s="512">
        <f>+J703*G763+E763</f>
        <v>0</v>
      </c>
      <c r="J763" s="509">
        <f t="shared" si="66"/>
        <v>0</v>
      </c>
      <c r="K763" s="509"/>
      <c r="L763" s="513"/>
      <c r="M763" s="509">
        <f t="shared" si="67"/>
        <v>0</v>
      </c>
      <c r="N763" s="513"/>
      <c r="O763" s="509">
        <f t="shared" si="68"/>
        <v>0</v>
      </c>
      <c r="P763" s="509">
        <f t="shared" si="69"/>
        <v>0</v>
      </c>
      <c r="Q763" s="471"/>
    </row>
    <row r="764" spans="3:17">
      <c r="C764" s="505">
        <f>IF(D701="","-",+C763+1)</f>
        <v>2070</v>
      </c>
      <c r="D764" s="469">
        <f t="shared" si="70"/>
        <v>0</v>
      </c>
      <c r="E764" s="511">
        <f t="shared" si="71"/>
        <v>0</v>
      </c>
      <c r="F764" s="511">
        <f t="shared" si="64"/>
        <v>0</v>
      </c>
      <c r="G764" s="469">
        <f t="shared" si="65"/>
        <v>0</v>
      </c>
      <c r="H764" s="506">
        <f>+J702*G764+E764</f>
        <v>0</v>
      </c>
      <c r="I764" s="512">
        <f>+J703*G764+E764</f>
        <v>0</v>
      </c>
      <c r="J764" s="509">
        <f t="shared" si="66"/>
        <v>0</v>
      </c>
      <c r="K764" s="509"/>
      <c r="L764" s="513"/>
      <c r="M764" s="509">
        <f t="shared" si="67"/>
        <v>0</v>
      </c>
      <c r="N764" s="513"/>
      <c r="O764" s="509">
        <f t="shared" si="68"/>
        <v>0</v>
      </c>
      <c r="P764" s="509">
        <f t="shared" si="69"/>
        <v>0</v>
      </c>
      <c r="Q764" s="471"/>
    </row>
    <row r="765" spans="3:17">
      <c r="C765" s="505">
        <f>IF(D701="","-",+C764+1)</f>
        <v>2071</v>
      </c>
      <c r="D765" s="469">
        <f t="shared" si="70"/>
        <v>0</v>
      </c>
      <c r="E765" s="511">
        <f t="shared" si="71"/>
        <v>0</v>
      </c>
      <c r="F765" s="511">
        <f t="shared" si="64"/>
        <v>0</v>
      </c>
      <c r="G765" s="469">
        <f t="shared" si="65"/>
        <v>0</v>
      </c>
      <c r="H765" s="506">
        <f>+J702*G765+E765</f>
        <v>0</v>
      </c>
      <c r="I765" s="512">
        <f>+J703*G765+E765</f>
        <v>0</v>
      </c>
      <c r="J765" s="509">
        <f t="shared" si="66"/>
        <v>0</v>
      </c>
      <c r="K765" s="509"/>
      <c r="L765" s="513"/>
      <c r="M765" s="509">
        <f t="shared" si="67"/>
        <v>0</v>
      </c>
      <c r="N765" s="513"/>
      <c r="O765" s="509">
        <f t="shared" si="68"/>
        <v>0</v>
      </c>
      <c r="P765" s="509">
        <f t="shared" si="69"/>
        <v>0</v>
      </c>
      <c r="Q765" s="471"/>
    </row>
    <row r="766" spans="3:17" ht="13.5" thickBot="1">
      <c r="C766" s="515">
        <f>IF(D701="","-",+C765+1)</f>
        <v>2072</v>
      </c>
      <c r="D766" s="516">
        <f t="shared" si="70"/>
        <v>0</v>
      </c>
      <c r="E766" s="980">
        <f t="shared" si="71"/>
        <v>0</v>
      </c>
      <c r="F766" s="517">
        <f t="shared" si="64"/>
        <v>0</v>
      </c>
      <c r="G766" s="516">
        <f t="shared" si="65"/>
        <v>0</v>
      </c>
      <c r="H766" s="518">
        <f>+J702*G766+E766</f>
        <v>0</v>
      </c>
      <c r="I766" s="518">
        <f>+J703*G766+E766</f>
        <v>0</v>
      </c>
      <c r="J766" s="519">
        <f t="shared" si="66"/>
        <v>0</v>
      </c>
      <c r="K766" s="509"/>
      <c r="L766" s="520"/>
      <c r="M766" s="519">
        <f t="shared" si="67"/>
        <v>0</v>
      </c>
      <c r="N766" s="520"/>
      <c r="O766" s="519">
        <f t="shared" si="68"/>
        <v>0</v>
      </c>
      <c r="P766" s="519">
        <f t="shared" si="69"/>
        <v>0</v>
      </c>
      <c r="Q766" s="471"/>
    </row>
    <row r="767" spans="3:17">
      <c r="C767" s="469" t="s">
        <v>288</v>
      </c>
      <c r="D767" s="467"/>
      <c r="E767" s="467">
        <f>SUM(E707:E766)</f>
        <v>118332.36000000002</v>
      </c>
      <c r="F767" s="467"/>
      <c r="G767" s="467"/>
      <c r="H767" s="467">
        <f>SUM(H707:H766)</f>
        <v>492474.29041004437</v>
      </c>
      <c r="I767" s="467">
        <f>SUM(I707:I766)</f>
        <v>492474.29041004437</v>
      </c>
      <c r="J767" s="467">
        <f>SUM(J707:J766)</f>
        <v>0</v>
      </c>
      <c r="K767" s="467"/>
      <c r="L767" s="467"/>
      <c r="M767" s="467"/>
      <c r="N767" s="467"/>
      <c r="O767" s="467"/>
      <c r="Q767" s="467"/>
    </row>
    <row r="768" spans="3:17">
      <c r="D768" s="79"/>
      <c r="E768" s="4"/>
      <c r="F768" s="4"/>
      <c r="G768" s="4"/>
      <c r="H768" s="4"/>
      <c r="I768" s="452"/>
      <c r="J768" s="452"/>
      <c r="K768" s="467"/>
      <c r="L768" s="452"/>
      <c r="M768" s="452"/>
      <c r="N768" s="452"/>
      <c r="O768" s="452"/>
      <c r="Q768" s="467"/>
    </row>
    <row r="769" spans="1:17">
      <c r="C769" s="4" t="s">
        <v>595</v>
      </c>
      <c r="D769" s="79"/>
      <c r="E769" s="4"/>
      <c r="F769" s="4"/>
      <c r="G769" s="4"/>
      <c r="H769" s="4"/>
      <c r="I769" s="452"/>
      <c r="J769" s="452"/>
      <c r="K769" s="467"/>
      <c r="L769" s="452"/>
      <c r="M769" s="452"/>
      <c r="N769" s="452"/>
      <c r="O769" s="452"/>
      <c r="Q769" s="467"/>
    </row>
    <row r="770" spans="1:17">
      <c r="D770" s="79"/>
      <c r="E770" s="4"/>
      <c r="F770" s="4"/>
      <c r="G770" s="4"/>
      <c r="H770" s="4"/>
      <c r="I770" s="452"/>
      <c r="J770" s="452"/>
      <c r="K770" s="467"/>
      <c r="L770" s="452"/>
      <c r="M770" s="452"/>
      <c r="N770" s="452"/>
      <c r="O770" s="452"/>
      <c r="Q770" s="467"/>
    </row>
    <row r="771" spans="1:17">
      <c r="C771" s="4" t="s">
        <v>596</v>
      </c>
      <c r="D771" s="469"/>
      <c r="E771" s="469"/>
      <c r="F771" s="469"/>
      <c r="G771" s="469"/>
      <c r="H771" s="467"/>
      <c r="I771" s="467"/>
      <c r="J771" s="471"/>
      <c r="K771" s="471"/>
      <c r="L771" s="471"/>
      <c r="M771" s="471"/>
      <c r="N771" s="471"/>
      <c r="O771" s="471"/>
      <c r="Q771" s="471"/>
    </row>
    <row r="772" spans="1:17">
      <c r="C772" s="4" t="s">
        <v>476</v>
      </c>
      <c r="D772" s="469"/>
      <c r="E772" s="469"/>
      <c r="F772" s="469"/>
      <c r="G772" s="469"/>
      <c r="H772" s="467"/>
      <c r="I772" s="467"/>
      <c r="J772" s="471"/>
      <c r="K772" s="471"/>
      <c r="L772" s="471"/>
      <c r="M772" s="471"/>
      <c r="N772" s="471"/>
      <c r="O772" s="471"/>
      <c r="Q772" s="471"/>
    </row>
    <row r="773" spans="1:17">
      <c r="C773" s="4" t="s">
        <v>289</v>
      </c>
      <c r="D773" s="469"/>
      <c r="E773" s="469"/>
      <c r="F773" s="469"/>
      <c r="G773" s="469"/>
      <c r="H773" s="467"/>
      <c r="I773" s="467"/>
      <c r="J773" s="471"/>
      <c r="K773" s="471"/>
      <c r="L773" s="471"/>
      <c r="M773" s="471"/>
      <c r="N773" s="471"/>
      <c r="O773" s="471"/>
      <c r="Q773" s="471"/>
    </row>
    <row r="774" spans="1:17">
      <c r="C774" s="4"/>
      <c r="D774" s="469"/>
      <c r="E774" s="469"/>
      <c r="F774" s="469"/>
      <c r="G774" s="469"/>
      <c r="H774" s="467"/>
      <c r="I774" s="467"/>
      <c r="J774" s="471"/>
      <c r="K774" s="471"/>
      <c r="L774" s="471"/>
      <c r="M774" s="471"/>
      <c r="N774" s="471"/>
      <c r="O774" s="471"/>
      <c r="Q774" s="471"/>
    </row>
    <row r="775" spans="1:17">
      <c r="C775" s="4"/>
      <c r="D775" s="469"/>
      <c r="E775" s="469"/>
      <c r="F775" s="469"/>
      <c r="G775" s="469"/>
      <c r="H775" s="467"/>
      <c r="I775" s="467"/>
      <c r="J775" s="471"/>
      <c r="K775" s="471"/>
      <c r="L775" s="471"/>
      <c r="M775" s="471"/>
      <c r="N775" s="471"/>
      <c r="O775" s="471"/>
      <c r="Q775" s="471"/>
    </row>
    <row r="776" spans="1:17" ht="20.25">
      <c r="A776" s="411" t="s">
        <v>762</v>
      </c>
      <c r="B776" s="4"/>
      <c r="C776" s="4"/>
      <c r="D776" s="79"/>
      <c r="E776" s="4"/>
      <c r="F776" s="81"/>
      <c r="G776" s="81"/>
      <c r="H776" s="4"/>
      <c r="I776" s="452"/>
      <c r="L776" s="11"/>
      <c r="M776" s="11"/>
      <c r="N776" s="11"/>
      <c r="O776" s="11" t="str">
        <f>"Page "&amp;SUM(Q$3:Q776)&amp;" of "</f>
        <v xml:space="preserve">Page 10 of </v>
      </c>
      <c r="P776" s="412">
        <f>COUNT(Q$8:Q$58212)</f>
        <v>23</v>
      </c>
      <c r="Q776" s="539">
        <v>1</v>
      </c>
    </row>
    <row r="777" spans="1:17">
      <c r="B777" s="4"/>
      <c r="C777" s="4"/>
      <c r="D777" s="79"/>
      <c r="E777" s="4"/>
      <c r="F777" s="4"/>
      <c r="G777" s="4"/>
      <c r="H777" s="4"/>
      <c r="I777" s="452"/>
      <c r="J777" s="4"/>
      <c r="K777" s="4"/>
    </row>
    <row r="778" spans="1:17" ht="18">
      <c r="B778" s="413" t="s">
        <v>174</v>
      </c>
      <c r="C778" s="472" t="s">
        <v>290</v>
      </c>
      <c r="D778" s="79"/>
      <c r="E778" s="4"/>
      <c r="F778" s="4"/>
      <c r="G778" s="4"/>
      <c r="H778" s="4"/>
      <c r="I778" s="452"/>
      <c r="J778" s="452"/>
      <c r="K778" s="467"/>
      <c r="L778" s="452"/>
      <c r="M778" s="452"/>
      <c r="N778" s="452"/>
      <c r="O778" s="452"/>
      <c r="Q778" s="467"/>
    </row>
    <row r="779" spans="1:17" ht="18.75">
      <c r="B779" s="413"/>
      <c r="C779" s="13"/>
      <c r="D779" s="79"/>
      <c r="E779" s="4"/>
      <c r="F779" s="4"/>
      <c r="G779" s="4"/>
      <c r="H779" s="4"/>
      <c r="I779" s="452"/>
      <c r="J779" s="452"/>
      <c r="K779" s="467"/>
      <c r="L779" s="452"/>
      <c r="M779" s="452"/>
      <c r="N779" s="452"/>
      <c r="O779" s="452"/>
      <c r="Q779" s="467"/>
    </row>
    <row r="780" spans="1:17" ht="18.75">
      <c r="B780" s="413"/>
      <c r="C780" s="13" t="s">
        <v>291</v>
      </c>
      <c r="D780" s="79"/>
      <c r="E780" s="4"/>
      <c r="F780" s="4"/>
      <c r="G780" s="4"/>
      <c r="H780" s="4"/>
      <c r="I780" s="452"/>
      <c r="J780" s="452"/>
      <c r="K780" s="467"/>
      <c r="L780" s="452"/>
      <c r="M780" s="452"/>
      <c r="N780" s="452"/>
      <c r="O780" s="452"/>
      <c r="Q780" s="467"/>
    </row>
    <row r="781" spans="1:17" ht="15.75" thickBot="1">
      <c r="C781" s="247"/>
      <c r="D781" s="79"/>
      <c r="E781" s="4"/>
      <c r="F781" s="4"/>
      <c r="G781" s="4"/>
      <c r="H781" s="4"/>
      <c r="I781" s="452"/>
      <c r="J781" s="452"/>
      <c r="K781" s="467"/>
      <c r="L781" s="452"/>
      <c r="M781" s="452"/>
      <c r="N781" s="452"/>
      <c r="O781" s="452"/>
      <c r="Q781" s="467"/>
    </row>
    <row r="782" spans="1:17" ht="15.75">
      <c r="C782" s="414" t="s">
        <v>292</v>
      </c>
      <c r="D782" s="79"/>
      <c r="E782" s="4"/>
      <c r="F782" s="4"/>
      <c r="G782" s="4"/>
      <c r="H782" s="635"/>
      <c r="I782" s="4" t="s">
        <v>271</v>
      </c>
      <c r="J782" s="4"/>
      <c r="K782" s="4"/>
      <c r="L782" s="540">
        <f>+J788</f>
        <v>2025</v>
      </c>
      <c r="M782" s="524" t="s">
        <v>254</v>
      </c>
      <c r="N782" s="524" t="s">
        <v>255</v>
      </c>
      <c r="O782" s="525" t="s">
        <v>256</v>
      </c>
    </row>
    <row r="783" spans="1:17" ht="15.75">
      <c r="C783" s="414"/>
      <c r="D783" s="79"/>
      <c r="E783" s="4"/>
      <c r="F783" s="4"/>
      <c r="H783" s="4"/>
      <c r="I783" s="476"/>
      <c r="J783" s="476"/>
      <c r="K783" s="477"/>
      <c r="L783" s="541" t="s">
        <v>455</v>
      </c>
      <c r="M783" s="542">
        <f>VLOOKUP(J788,C795:P854,10)</f>
        <v>461773.9205409303</v>
      </c>
      <c r="N783" s="542">
        <f>VLOOKUP(J788,C795:P854,12)</f>
        <v>461773.9205409303</v>
      </c>
      <c r="O783" s="543">
        <f>+N783-M783</f>
        <v>0</v>
      </c>
      <c r="Q783" s="477"/>
    </row>
    <row r="784" spans="1:17" ht="12.95" customHeight="1">
      <c r="C784" s="479" t="s">
        <v>293</v>
      </c>
      <c r="D784" s="1276" t="s">
        <v>932</v>
      </c>
      <c r="E784" s="1276"/>
      <c r="F784" s="1276"/>
      <c r="G784" s="1276"/>
      <c r="H784" s="1276"/>
      <c r="I784" s="1276"/>
      <c r="J784" s="452"/>
      <c r="K784" s="467"/>
      <c r="L784" s="541" t="s">
        <v>456</v>
      </c>
      <c r="M784" s="544">
        <f>VLOOKUP(J788,C795:P854,6)</f>
        <v>474582.67505676084</v>
      </c>
      <c r="N784" s="544">
        <f>VLOOKUP(J788,C795:P854,7)</f>
        <v>474582.67505676084</v>
      </c>
      <c r="O784" s="545">
        <f>+N784-M784</f>
        <v>0</v>
      </c>
      <c r="Q784" s="467"/>
    </row>
    <row r="785" spans="1:17" ht="13.5" thickBot="1">
      <c r="C785" s="481"/>
      <c r="D785" s="1276" t="s">
        <v>952</v>
      </c>
      <c r="E785" s="1276"/>
      <c r="F785" s="1276"/>
      <c r="G785" s="1276"/>
      <c r="H785" s="1276"/>
      <c r="I785" s="1276"/>
      <c r="J785" s="452"/>
      <c r="K785" s="467"/>
      <c r="L785" s="492" t="s">
        <v>457</v>
      </c>
      <c r="M785" s="546">
        <f>+M784-M783</f>
        <v>12808.754515830544</v>
      </c>
      <c r="N785" s="546">
        <f>+N784-N783</f>
        <v>12808.754515830544</v>
      </c>
      <c r="O785" s="547">
        <f>+O784-O783</f>
        <v>0</v>
      </c>
      <c r="Q785" s="467"/>
    </row>
    <row r="786" spans="1:17" ht="13.5" thickBot="1">
      <c r="C786" s="481"/>
      <c r="D786" s="4"/>
      <c r="E786" s="483"/>
      <c r="F786" s="483"/>
      <c r="G786" s="483"/>
      <c r="H786" s="483"/>
      <c r="I786" s="483"/>
      <c r="J786" s="483"/>
      <c r="K786" s="483"/>
      <c r="L786" s="483"/>
      <c r="M786" s="483"/>
      <c r="N786" s="483"/>
      <c r="O786" s="483"/>
      <c r="Q786" s="483"/>
    </row>
    <row r="787" spans="1:17" ht="13.5" thickBot="1">
      <c r="C787" s="484" t="s">
        <v>294</v>
      </c>
      <c r="D787" s="485"/>
      <c r="E787" s="485"/>
      <c r="F787" s="485"/>
      <c r="G787" s="485"/>
      <c r="H787" s="485"/>
      <c r="I787" s="485"/>
      <c r="J787" s="485"/>
      <c r="Q787"/>
    </row>
    <row r="788" spans="1:17" ht="15">
      <c r="A788" s="977"/>
      <c r="C788" s="487" t="s">
        <v>272</v>
      </c>
      <c r="D788" s="926">
        <v>3459640.38</v>
      </c>
      <c r="E788" s="4" t="s">
        <v>273</v>
      </c>
      <c r="H788" s="79"/>
      <c r="I788" s="79"/>
      <c r="J788" s="488">
        <f>$J$95</f>
        <v>2025</v>
      </c>
      <c r="K788" s="135"/>
      <c r="L788" s="1287" t="s">
        <v>274</v>
      </c>
      <c r="M788" s="1287"/>
      <c r="N788" s="1287"/>
      <c r="O788" s="1287"/>
      <c r="Q788" s="135"/>
    </row>
    <row r="789" spans="1:17">
      <c r="A789" s="977"/>
      <c r="C789" s="487" t="s">
        <v>275</v>
      </c>
      <c r="D789" s="636">
        <v>2015</v>
      </c>
      <c r="E789" s="487" t="s">
        <v>276</v>
      </c>
      <c r="F789" s="79"/>
      <c r="G789" s="79"/>
      <c r="I789"/>
      <c r="J789" s="638">
        <v>0</v>
      </c>
      <c r="K789" s="489"/>
      <c r="L789" s="467" t="s">
        <v>475</v>
      </c>
      <c r="Q789" s="489"/>
    </row>
    <row r="790" spans="1:17">
      <c r="A790" s="977"/>
      <c r="C790" s="487" t="s">
        <v>277</v>
      </c>
      <c r="D790" s="926">
        <v>3</v>
      </c>
      <c r="E790" s="487" t="s">
        <v>278</v>
      </c>
      <c r="F790" s="79"/>
      <c r="G790" s="79"/>
      <c r="I790"/>
      <c r="J790" s="490">
        <f>$F$70</f>
        <v>0.14996626714737105</v>
      </c>
      <c r="K790" s="81"/>
      <c r="L790" s="4" t="str">
        <f>"          INPUT TRUE-UP ARR (WITH &amp; WITHOUT INCENTIVES) FROM EACH PRIOR YEAR"</f>
        <v xml:space="preserve">          INPUT TRUE-UP ARR (WITH &amp; WITHOUT INCENTIVES) FROM EACH PRIOR YEAR</v>
      </c>
      <c r="Q790" s="81"/>
    </row>
    <row r="791" spans="1:17">
      <c r="A791" s="977"/>
      <c r="C791" s="487" t="s">
        <v>279</v>
      </c>
      <c r="D791" s="491">
        <f>H79</f>
        <v>42</v>
      </c>
      <c r="E791" s="487" t="s">
        <v>280</v>
      </c>
      <c r="F791" s="79"/>
      <c r="G791" s="79"/>
      <c r="I791"/>
      <c r="J791" s="490">
        <f>IF(H782="",J790,$F$69)</f>
        <v>0.14996626714737105</v>
      </c>
      <c r="K791" s="81"/>
      <c r="L791" s="4" t="s">
        <v>362</v>
      </c>
      <c r="M791" s="81"/>
      <c r="N791" s="81"/>
      <c r="O791" s="81"/>
      <c r="Q791" s="81"/>
    </row>
    <row r="792" spans="1:17" ht="13.5" thickBot="1">
      <c r="A792" s="977"/>
      <c r="C792" s="487" t="s">
        <v>281</v>
      </c>
      <c r="D792" s="637" t="s">
        <v>923</v>
      </c>
      <c r="E792" s="492" t="s">
        <v>282</v>
      </c>
      <c r="F792" s="493"/>
      <c r="G792" s="493"/>
      <c r="H792" s="494"/>
      <c r="I792" s="494"/>
      <c r="J792" s="480">
        <f>IF(D788=0,0,D788/D791)</f>
        <v>82372.39</v>
      </c>
      <c r="K792" s="467"/>
      <c r="L792" s="467" t="s">
        <v>363</v>
      </c>
      <c r="M792" s="467"/>
      <c r="N792" s="467"/>
      <c r="O792" s="467"/>
      <c r="Q792" s="467"/>
    </row>
    <row r="793" spans="1:17" ht="38.25">
      <c r="A793" s="12"/>
      <c r="B793" s="12"/>
      <c r="C793" s="495" t="s">
        <v>272</v>
      </c>
      <c r="D793" s="496" t="s">
        <v>283</v>
      </c>
      <c r="E793" s="497" t="s">
        <v>284</v>
      </c>
      <c r="F793" s="496" t="s">
        <v>285</v>
      </c>
      <c r="G793" s="496" t="s">
        <v>458</v>
      </c>
      <c r="H793" s="497" t="s">
        <v>356</v>
      </c>
      <c r="I793" s="498" t="s">
        <v>356</v>
      </c>
      <c r="J793" s="495" t="s">
        <v>295</v>
      </c>
      <c r="K793" s="499"/>
      <c r="L793" s="497" t="s">
        <v>358</v>
      </c>
      <c r="M793" s="497" t="s">
        <v>364</v>
      </c>
      <c r="N793" s="497" t="s">
        <v>358</v>
      </c>
      <c r="O793" s="497" t="s">
        <v>366</v>
      </c>
      <c r="P793" s="497" t="s">
        <v>286</v>
      </c>
      <c r="Q793" s="128"/>
    </row>
    <row r="794" spans="1:17" ht="13.5" thickBot="1">
      <c r="C794" s="500" t="s">
        <v>177</v>
      </c>
      <c r="D794" s="501" t="s">
        <v>178</v>
      </c>
      <c r="E794" s="500" t="s">
        <v>37</v>
      </c>
      <c r="F794" s="501" t="s">
        <v>178</v>
      </c>
      <c r="G794" s="501" t="s">
        <v>178</v>
      </c>
      <c r="H794" s="502" t="s">
        <v>298</v>
      </c>
      <c r="I794" s="503" t="s">
        <v>300</v>
      </c>
      <c r="J794" s="500" t="s">
        <v>389</v>
      </c>
      <c r="K794" s="504"/>
      <c r="L794" s="502" t="s">
        <v>287</v>
      </c>
      <c r="M794" s="502" t="s">
        <v>287</v>
      </c>
      <c r="N794" s="502" t="s">
        <v>467</v>
      </c>
      <c r="O794" s="502" t="s">
        <v>467</v>
      </c>
      <c r="P794" s="502" t="s">
        <v>467</v>
      </c>
      <c r="Q794" s="135"/>
    </row>
    <row r="795" spans="1:17">
      <c r="C795" s="505">
        <f>IF(D789= "","-",D789)</f>
        <v>2015</v>
      </c>
      <c r="D795" s="469">
        <f>+D788</f>
        <v>3459640.38</v>
      </c>
      <c r="E795" s="506">
        <f>+J792/12*(12-D790)</f>
        <v>61779.292499999996</v>
      </c>
      <c r="F795" s="548">
        <f t="shared" ref="F795:F854" si="72">+D795-E795</f>
        <v>3397861.0874999999</v>
      </c>
      <c r="G795" s="469">
        <f t="shared" ref="G795:G854" si="73">+(D795+F795)/2</f>
        <v>3428750.7337499997</v>
      </c>
      <c r="H795" s="507">
        <f>+J790*G795+E795</f>
        <v>575976.24101929693</v>
      </c>
      <c r="I795" s="508">
        <f>+J791*G795+E795</f>
        <v>575976.24101929693</v>
      </c>
      <c r="J795" s="509">
        <f t="shared" ref="J795:J854" si="74">+I795-H795</f>
        <v>0</v>
      </c>
      <c r="K795" s="509"/>
      <c r="L795" s="513">
        <v>652736</v>
      </c>
      <c r="M795" s="549">
        <f t="shared" ref="M795:M854" si="75">IF(L795&lt;&gt;0,+H795-L795,0)</f>
        <v>-76759.758980703074</v>
      </c>
      <c r="N795" s="513">
        <v>652736</v>
      </c>
      <c r="O795" s="549">
        <f t="shared" ref="O795:O854" si="76">IF(N795&lt;&gt;0,+I795-N795,0)</f>
        <v>-76759.758980703074</v>
      </c>
      <c r="P795" s="549">
        <f t="shared" ref="P795:P854" si="77">+O795-M795</f>
        <v>0</v>
      </c>
      <c r="Q795" s="471"/>
    </row>
    <row r="796" spans="1:17">
      <c r="C796" s="505">
        <f>IF(D789="","-",+C795+1)</f>
        <v>2016</v>
      </c>
      <c r="D796" s="469">
        <f t="shared" ref="D796:D854" si="78">F795</f>
        <v>3397861.0874999999</v>
      </c>
      <c r="E796" s="511">
        <f>IF(D796&gt;$J$792,$J$792,D796)</f>
        <v>82372.39</v>
      </c>
      <c r="F796" s="511">
        <f t="shared" si="72"/>
        <v>3315488.6974999998</v>
      </c>
      <c r="G796" s="469">
        <f t="shared" si="73"/>
        <v>3356674.8925000001</v>
      </c>
      <c r="H796" s="506">
        <f>+J790*G796+E796</f>
        <v>585760.39365552797</v>
      </c>
      <c r="I796" s="512">
        <f>+J791*G796+E796</f>
        <v>585760.39365552797</v>
      </c>
      <c r="J796" s="509">
        <f t="shared" si="74"/>
        <v>0</v>
      </c>
      <c r="K796" s="509"/>
      <c r="L796" s="513">
        <v>666514</v>
      </c>
      <c r="M796" s="509">
        <f t="shared" si="75"/>
        <v>-80753.606344472035</v>
      </c>
      <c r="N796" s="513">
        <v>666514</v>
      </c>
      <c r="O796" s="509">
        <f t="shared" si="76"/>
        <v>-80753.606344472035</v>
      </c>
      <c r="P796" s="509">
        <f t="shared" si="77"/>
        <v>0</v>
      </c>
      <c r="Q796" s="471"/>
    </row>
    <row r="797" spans="1:17">
      <c r="C797" s="505">
        <f>IF(D789="","-",+C796+1)</f>
        <v>2017</v>
      </c>
      <c r="D797" s="469">
        <f t="shared" si="78"/>
        <v>3315488.6974999998</v>
      </c>
      <c r="E797" s="511">
        <f t="shared" ref="E797:E854" si="79">IF(D797&gt;$J$792,$J$792,D797)</f>
        <v>82372.39</v>
      </c>
      <c r="F797" s="511">
        <f t="shared" si="72"/>
        <v>3233116.3074999996</v>
      </c>
      <c r="G797" s="469">
        <f t="shared" si="73"/>
        <v>3274302.5024999995</v>
      </c>
      <c r="H797" s="506">
        <f>+J790*G797+E797</f>
        <v>573407.31381122046</v>
      </c>
      <c r="I797" s="512">
        <f>+J791*G797+E797</f>
        <v>573407.31381122046</v>
      </c>
      <c r="J797" s="509">
        <f t="shared" si="74"/>
        <v>0</v>
      </c>
      <c r="K797" s="509"/>
      <c r="L797" s="513">
        <v>674329</v>
      </c>
      <c r="M797" s="509">
        <f t="shared" si="75"/>
        <v>-100921.68618877954</v>
      </c>
      <c r="N797" s="513">
        <v>674329</v>
      </c>
      <c r="O797" s="509">
        <f t="shared" si="76"/>
        <v>-100921.68618877954</v>
      </c>
      <c r="P797" s="509">
        <f t="shared" si="77"/>
        <v>0</v>
      </c>
      <c r="Q797" s="471"/>
    </row>
    <row r="798" spans="1:17">
      <c r="C798" s="505">
        <f>IF(D789="","-",+C797+1)</f>
        <v>2018</v>
      </c>
      <c r="D798" s="469">
        <f t="shared" si="78"/>
        <v>3233116.3074999996</v>
      </c>
      <c r="E798" s="511">
        <f t="shared" si="79"/>
        <v>82372.39</v>
      </c>
      <c r="F798" s="511">
        <f t="shared" si="72"/>
        <v>3150743.9174999995</v>
      </c>
      <c r="G798" s="469">
        <f t="shared" si="73"/>
        <v>3191930.1124999998</v>
      </c>
      <c r="H798" s="506">
        <f>+J790*G798+E798</f>
        <v>561054.23396691307</v>
      </c>
      <c r="I798" s="512">
        <f>+J791*G798+E798</f>
        <v>561054.23396691307</v>
      </c>
      <c r="J798" s="509">
        <f t="shared" si="74"/>
        <v>0</v>
      </c>
      <c r="K798" s="509"/>
      <c r="L798" s="513">
        <v>563359</v>
      </c>
      <c r="M798" s="509">
        <f t="shared" si="75"/>
        <v>-2304.7660330869257</v>
      </c>
      <c r="N798" s="513">
        <v>563359</v>
      </c>
      <c r="O798" s="509">
        <f t="shared" si="76"/>
        <v>-2304.7660330869257</v>
      </c>
      <c r="P798" s="509">
        <f t="shared" si="77"/>
        <v>0</v>
      </c>
      <c r="Q798" s="471"/>
    </row>
    <row r="799" spans="1:17">
      <c r="C799" s="505">
        <f>IF(D789="","-",+C798+1)</f>
        <v>2019</v>
      </c>
      <c r="D799" s="469">
        <f t="shared" si="78"/>
        <v>3150743.9174999995</v>
      </c>
      <c r="E799" s="511">
        <f t="shared" si="79"/>
        <v>82372.39</v>
      </c>
      <c r="F799" s="511">
        <f t="shared" si="72"/>
        <v>3068371.5274999994</v>
      </c>
      <c r="G799" s="469">
        <f t="shared" si="73"/>
        <v>3109557.7224999992</v>
      </c>
      <c r="H799" s="506">
        <f>+J790*G799+E799</f>
        <v>548701.15412260557</v>
      </c>
      <c r="I799" s="512">
        <f>+J791*G799+E799</f>
        <v>548701.15412260557</v>
      </c>
      <c r="J799" s="509">
        <f t="shared" si="74"/>
        <v>0</v>
      </c>
      <c r="K799" s="509"/>
      <c r="L799" s="513">
        <v>548044</v>
      </c>
      <c r="M799" s="509">
        <f t="shared" si="75"/>
        <v>657.15412260557059</v>
      </c>
      <c r="N799" s="513">
        <v>548044</v>
      </c>
      <c r="O799" s="509">
        <f t="shared" si="76"/>
        <v>657.15412260557059</v>
      </c>
      <c r="P799" s="509">
        <f t="shared" si="77"/>
        <v>0</v>
      </c>
      <c r="Q799" s="471"/>
    </row>
    <row r="800" spans="1:17">
      <c r="C800" s="505">
        <f>IF(D789="","-",+C799+1)</f>
        <v>2020</v>
      </c>
      <c r="D800" s="941">
        <f t="shared" si="78"/>
        <v>3068371.5274999994</v>
      </c>
      <c r="E800" s="511">
        <f t="shared" si="79"/>
        <v>82372.39</v>
      </c>
      <c r="F800" s="511">
        <f t="shared" si="72"/>
        <v>2985999.1374999993</v>
      </c>
      <c r="G800" s="469">
        <f t="shared" si="73"/>
        <v>3027185.3324999996</v>
      </c>
      <c r="H800" s="506">
        <f>+J790*G800+E800</f>
        <v>536348.07427829818</v>
      </c>
      <c r="I800" s="512">
        <f>+J791*G800+E800</f>
        <v>536348.07427829818</v>
      </c>
      <c r="J800" s="509">
        <f t="shared" si="74"/>
        <v>0</v>
      </c>
      <c r="K800" s="509"/>
      <c r="L800" s="513">
        <v>528209.68822876178</v>
      </c>
      <c r="M800" s="509">
        <f t="shared" si="75"/>
        <v>8138.3860495364061</v>
      </c>
      <c r="N800" s="513">
        <v>528209.68822876178</v>
      </c>
      <c r="O800" s="509">
        <f t="shared" si="76"/>
        <v>8138.3860495364061</v>
      </c>
      <c r="P800" s="509">
        <f t="shared" si="77"/>
        <v>0</v>
      </c>
      <c r="Q800" s="471"/>
    </row>
    <row r="801" spans="3:17">
      <c r="C801" s="505">
        <f>IF(D789="","-",+C800+1)</f>
        <v>2021</v>
      </c>
      <c r="D801" s="941">
        <f t="shared" si="78"/>
        <v>2985999.1374999993</v>
      </c>
      <c r="E801" s="511">
        <f t="shared" si="79"/>
        <v>82372.39</v>
      </c>
      <c r="F801" s="511">
        <f t="shared" si="72"/>
        <v>2903626.7474999991</v>
      </c>
      <c r="G801" s="469">
        <f t="shared" si="73"/>
        <v>2944812.942499999</v>
      </c>
      <c r="H801" s="506">
        <f>+J790*G801+E801</f>
        <v>523994.99443399068</v>
      </c>
      <c r="I801" s="512">
        <f>+J791*G801+E801</f>
        <v>523994.99443399068</v>
      </c>
      <c r="J801" s="509">
        <f t="shared" si="74"/>
        <v>0</v>
      </c>
      <c r="K801" s="509"/>
      <c r="L801" s="513">
        <v>504122.32482208638</v>
      </c>
      <c r="M801" s="509">
        <f t="shared" si="75"/>
        <v>19872.669611904304</v>
      </c>
      <c r="N801" s="513">
        <v>504122.32482208638</v>
      </c>
      <c r="O801" s="509">
        <f t="shared" si="76"/>
        <v>19872.669611904304</v>
      </c>
      <c r="P801" s="509">
        <f t="shared" si="77"/>
        <v>0</v>
      </c>
      <c r="Q801" s="471"/>
    </row>
    <row r="802" spans="3:17">
      <c r="C802" s="505">
        <f>IF(D789="","-",+C801+1)</f>
        <v>2022</v>
      </c>
      <c r="D802" s="469">
        <f t="shared" si="78"/>
        <v>2903626.7474999991</v>
      </c>
      <c r="E802" s="511">
        <f t="shared" si="79"/>
        <v>82372.39</v>
      </c>
      <c r="F802" s="511">
        <f t="shared" si="72"/>
        <v>2821254.357499999</v>
      </c>
      <c r="G802" s="469">
        <f t="shared" si="73"/>
        <v>2862440.5524999993</v>
      </c>
      <c r="H802" s="506">
        <f>+J790*G802+E802</f>
        <v>511641.91458968329</v>
      </c>
      <c r="I802" s="512">
        <f>+J791*G802+E802</f>
        <v>511641.91458968329</v>
      </c>
      <c r="J802" s="509">
        <f t="shared" si="74"/>
        <v>0</v>
      </c>
      <c r="K802" s="509"/>
      <c r="L802" s="513">
        <v>494899.42848978296</v>
      </c>
      <c r="M802" s="509">
        <f t="shared" si="75"/>
        <v>16742.486099900329</v>
      </c>
      <c r="N802" s="513">
        <v>494899.42848978296</v>
      </c>
      <c r="O802" s="509">
        <f t="shared" si="76"/>
        <v>16742.486099900329</v>
      </c>
      <c r="P802" s="509">
        <f t="shared" si="77"/>
        <v>0</v>
      </c>
      <c r="Q802" s="471"/>
    </row>
    <row r="803" spans="3:17">
      <c r="C803" s="505">
        <f>IF(D789="","-",+C802+1)</f>
        <v>2023</v>
      </c>
      <c r="D803" s="469">
        <f t="shared" si="78"/>
        <v>2821254.357499999</v>
      </c>
      <c r="E803" s="511">
        <f t="shared" si="79"/>
        <v>82372.39</v>
      </c>
      <c r="F803" s="511">
        <f t="shared" si="72"/>
        <v>2738881.9674999989</v>
      </c>
      <c r="G803" s="469">
        <f t="shared" si="73"/>
        <v>2780068.1624999987</v>
      </c>
      <c r="H803" s="506">
        <f>+J790*G803+E803</f>
        <v>499288.83474537579</v>
      </c>
      <c r="I803" s="512">
        <f>+J791*G803+E803</f>
        <v>499288.83474537579</v>
      </c>
      <c r="J803" s="509">
        <f t="shared" si="74"/>
        <v>0</v>
      </c>
      <c r="K803" s="509"/>
      <c r="L803" s="513">
        <v>502565.35611324181</v>
      </c>
      <c r="M803" s="509">
        <f t="shared" si="75"/>
        <v>-3276.521367866022</v>
      </c>
      <c r="N803" s="513">
        <v>502565.35611324181</v>
      </c>
      <c r="O803" s="509">
        <f t="shared" si="76"/>
        <v>-3276.521367866022</v>
      </c>
      <c r="P803" s="509">
        <f t="shared" si="77"/>
        <v>0</v>
      </c>
      <c r="Q803" s="471"/>
    </row>
    <row r="804" spans="3:17">
      <c r="C804" s="963">
        <f>IF(D789="","-",+C803+1)</f>
        <v>2024</v>
      </c>
      <c r="D804" s="469">
        <f t="shared" si="78"/>
        <v>2738881.9674999989</v>
      </c>
      <c r="E804" s="511">
        <f t="shared" si="79"/>
        <v>82372.39</v>
      </c>
      <c r="F804" s="511">
        <f t="shared" si="72"/>
        <v>2656509.5774999987</v>
      </c>
      <c r="G804" s="469">
        <f t="shared" si="73"/>
        <v>2697695.772499999</v>
      </c>
      <c r="H804" s="506">
        <f>+J790*G804+E804</f>
        <v>486935.7549010684</v>
      </c>
      <c r="I804" s="512">
        <f>+J791*G804+E804</f>
        <v>486935.7549010684</v>
      </c>
      <c r="J804" s="509">
        <f t="shared" si="74"/>
        <v>0</v>
      </c>
      <c r="K804" s="509"/>
      <c r="L804" s="513">
        <v>488149.01445513521</v>
      </c>
      <c r="M804" s="509">
        <f t="shared" si="75"/>
        <v>-1213.2595540668117</v>
      </c>
      <c r="N804" s="513">
        <v>488149.01445513521</v>
      </c>
      <c r="O804" s="509">
        <f t="shared" si="76"/>
        <v>-1213.2595540668117</v>
      </c>
      <c r="P804" s="509">
        <f t="shared" si="77"/>
        <v>0</v>
      </c>
      <c r="Q804" s="471"/>
    </row>
    <row r="805" spans="3:17">
      <c r="C805" s="505">
        <f>IF(D789="","-",+C804+1)</f>
        <v>2025</v>
      </c>
      <c r="D805" s="469">
        <f t="shared" si="78"/>
        <v>2656509.5774999987</v>
      </c>
      <c r="E805" s="511">
        <f t="shared" si="79"/>
        <v>82372.39</v>
      </c>
      <c r="F805" s="511">
        <f t="shared" si="72"/>
        <v>2574137.1874999986</v>
      </c>
      <c r="G805" s="469">
        <f t="shared" si="73"/>
        <v>2615323.3824999984</v>
      </c>
      <c r="H805" s="506">
        <f>+J790*G805+E805</f>
        <v>474582.67505676084</v>
      </c>
      <c r="I805" s="512">
        <f>+J791*G805+E805</f>
        <v>474582.67505676084</v>
      </c>
      <c r="J805" s="509">
        <f t="shared" si="74"/>
        <v>0</v>
      </c>
      <c r="K805" s="509"/>
      <c r="L805" s="513">
        <v>461773.9205409303</v>
      </c>
      <c r="M805" s="509">
        <f t="shared" si="75"/>
        <v>12808.754515830544</v>
      </c>
      <c r="N805" s="513">
        <v>461773.9205409303</v>
      </c>
      <c r="O805" s="509">
        <f t="shared" si="76"/>
        <v>12808.754515830544</v>
      </c>
      <c r="P805" s="509">
        <f t="shared" si="77"/>
        <v>0</v>
      </c>
      <c r="Q805" s="471"/>
    </row>
    <row r="806" spans="3:17">
      <c r="C806" s="505">
        <f>IF(D789="","-",+C805+1)</f>
        <v>2026</v>
      </c>
      <c r="D806" s="469">
        <f t="shared" si="78"/>
        <v>2574137.1874999986</v>
      </c>
      <c r="E806" s="511">
        <f t="shared" si="79"/>
        <v>82372.39</v>
      </c>
      <c r="F806" s="511">
        <f t="shared" si="72"/>
        <v>2491764.7974999985</v>
      </c>
      <c r="G806" s="469">
        <f t="shared" si="73"/>
        <v>2532950.9924999988</v>
      </c>
      <c r="H806" s="506">
        <f>+J790*G806+E806</f>
        <v>462229.59521245345</v>
      </c>
      <c r="I806" s="512">
        <f>+J791*G806+E806</f>
        <v>462229.59521245345</v>
      </c>
      <c r="J806" s="509">
        <f t="shared" si="74"/>
        <v>0</v>
      </c>
      <c r="K806" s="509"/>
      <c r="L806" s="513"/>
      <c r="M806" s="509">
        <f t="shared" si="75"/>
        <v>0</v>
      </c>
      <c r="N806" s="513"/>
      <c r="O806" s="509">
        <f t="shared" si="76"/>
        <v>0</v>
      </c>
      <c r="P806" s="509">
        <f t="shared" si="77"/>
        <v>0</v>
      </c>
      <c r="Q806" s="471"/>
    </row>
    <row r="807" spans="3:17">
      <c r="C807" s="505">
        <f>IF(D789="","-",+C806+1)</f>
        <v>2027</v>
      </c>
      <c r="D807" s="469">
        <f t="shared" si="78"/>
        <v>2491764.7974999985</v>
      </c>
      <c r="E807" s="511">
        <f t="shared" si="79"/>
        <v>82372.39</v>
      </c>
      <c r="F807" s="511">
        <f t="shared" si="72"/>
        <v>2409392.4074999983</v>
      </c>
      <c r="G807" s="469">
        <f t="shared" si="73"/>
        <v>2450578.6024999982</v>
      </c>
      <c r="H807" s="506">
        <f>+J790*G807+E807</f>
        <v>449876.51536814595</v>
      </c>
      <c r="I807" s="512">
        <f>+J791*G807+E807</f>
        <v>449876.51536814595</v>
      </c>
      <c r="J807" s="509">
        <f t="shared" si="74"/>
        <v>0</v>
      </c>
      <c r="K807" s="509"/>
      <c r="L807" s="513"/>
      <c r="M807" s="509">
        <f t="shared" si="75"/>
        <v>0</v>
      </c>
      <c r="N807" s="513"/>
      <c r="O807" s="509">
        <f t="shared" si="76"/>
        <v>0</v>
      </c>
      <c r="P807" s="509">
        <f t="shared" si="77"/>
        <v>0</v>
      </c>
      <c r="Q807" s="471"/>
    </row>
    <row r="808" spans="3:17">
      <c r="C808" s="505">
        <f>IF(D789="","-",+C807+1)</f>
        <v>2028</v>
      </c>
      <c r="D808" s="469">
        <f t="shared" si="78"/>
        <v>2409392.4074999983</v>
      </c>
      <c r="E808" s="511">
        <f t="shared" si="79"/>
        <v>82372.39</v>
      </c>
      <c r="F808" s="511">
        <f t="shared" si="72"/>
        <v>2327020.0174999982</v>
      </c>
      <c r="G808" s="469">
        <f t="shared" si="73"/>
        <v>2368206.2124999985</v>
      </c>
      <c r="H808" s="506">
        <f>+J790*G808+E808</f>
        <v>437523.43552383856</v>
      </c>
      <c r="I808" s="512">
        <f>+J791*G808+E808</f>
        <v>437523.43552383856</v>
      </c>
      <c r="J808" s="509">
        <f t="shared" si="74"/>
        <v>0</v>
      </c>
      <c r="K808" s="509"/>
      <c r="L808" s="513"/>
      <c r="M808" s="509">
        <f t="shared" si="75"/>
        <v>0</v>
      </c>
      <c r="N808" s="513"/>
      <c r="O808" s="509">
        <f t="shared" si="76"/>
        <v>0</v>
      </c>
      <c r="P808" s="509">
        <f t="shared" si="77"/>
        <v>0</v>
      </c>
      <c r="Q808" s="471"/>
    </row>
    <row r="809" spans="3:17">
      <c r="C809" s="505">
        <f>IF(D789="","-",+C808+1)</f>
        <v>2029</v>
      </c>
      <c r="D809" s="469">
        <f t="shared" si="78"/>
        <v>2327020.0174999982</v>
      </c>
      <c r="E809" s="511">
        <f t="shared" si="79"/>
        <v>82372.39</v>
      </c>
      <c r="F809" s="511">
        <f t="shared" si="72"/>
        <v>2244647.6274999981</v>
      </c>
      <c r="G809" s="469">
        <f t="shared" si="73"/>
        <v>2285833.8224999979</v>
      </c>
      <c r="H809" s="506">
        <f>+J790*G809+E809</f>
        <v>425170.35567953106</v>
      </c>
      <c r="I809" s="512">
        <f>+J791*G809+E809</f>
        <v>425170.35567953106</v>
      </c>
      <c r="J809" s="509">
        <f t="shared" si="74"/>
        <v>0</v>
      </c>
      <c r="K809" s="509"/>
      <c r="L809" s="513"/>
      <c r="M809" s="509">
        <f t="shared" si="75"/>
        <v>0</v>
      </c>
      <c r="N809" s="513"/>
      <c r="O809" s="509">
        <f t="shared" si="76"/>
        <v>0</v>
      </c>
      <c r="P809" s="509">
        <f t="shared" si="77"/>
        <v>0</v>
      </c>
      <c r="Q809" s="471"/>
    </row>
    <row r="810" spans="3:17">
      <c r="C810" s="505">
        <f>IF(D789="","-",+C809+1)</f>
        <v>2030</v>
      </c>
      <c r="D810" s="469">
        <f t="shared" si="78"/>
        <v>2244647.6274999981</v>
      </c>
      <c r="E810" s="511">
        <f t="shared" si="79"/>
        <v>82372.39</v>
      </c>
      <c r="F810" s="511">
        <f t="shared" si="72"/>
        <v>2162275.237499998</v>
      </c>
      <c r="G810" s="469">
        <f t="shared" si="73"/>
        <v>2203461.4324999982</v>
      </c>
      <c r="H810" s="506">
        <f>+J790*G810+E810</f>
        <v>412817.27583522367</v>
      </c>
      <c r="I810" s="512">
        <f>+J791*G810+E810</f>
        <v>412817.27583522367</v>
      </c>
      <c r="J810" s="509">
        <f t="shared" si="74"/>
        <v>0</v>
      </c>
      <c r="K810" s="509"/>
      <c r="L810" s="513"/>
      <c r="M810" s="509">
        <f t="shared" si="75"/>
        <v>0</v>
      </c>
      <c r="N810" s="513"/>
      <c r="O810" s="509">
        <f t="shared" si="76"/>
        <v>0</v>
      </c>
      <c r="P810" s="509">
        <f t="shared" si="77"/>
        <v>0</v>
      </c>
      <c r="Q810" s="471"/>
    </row>
    <row r="811" spans="3:17">
      <c r="C811" s="505">
        <f>IF(D789="","-",+C810+1)</f>
        <v>2031</v>
      </c>
      <c r="D811" s="469">
        <f t="shared" si="78"/>
        <v>2162275.237499998</v>
      </c>
      <c r="E811" s="511">
        <f t="shared" si="79"/>
        <v>82372.39</v>
      </c>
      <c r="F811" s="511">
        <f t="shared" si="72"/>
        <v>2079902.8474999981</v>
      </c>
      <c r="G811" s="469">
        <f t="shared" si="73"/>
        <v>2121089.0424999981</v>
      </c>
      <c r="H811" s="506">
        <f>+J790*G811+E811</f>
        <v>400464.19599091617</v>
      </c>
      <c r="I811" s="512">
        <f>+J791*G811+E811</f>
        <v>400464.19599091617</v>
      </c>
      <c r="J811" s="509">
        <f t="shared" si="74"/>
        <v>0</v>
      </c>
      <c r="K811" s="509"/>
      <c r="L811" s="513"/>
      <c r="M811" s="509">
        <f t="shared" si="75"/>
        <v>0</v>
      </c>
      <c r="N811" s="513"/>
      <c r="O811" s="509">
        <f t="shared" si="76"/>
        <v>0</v>
      </c>
      <c r="P811" s="509">
        <f t="shared" si="77"/>
        <v>0</v>
      </c>
      <c r="Q811" s="471"/>
    </row>
    <row r="812" spans="3:17">
      <c r="C812" s="505">
        <f>IF(D789="","-",+C811+1)</f>
        <v>2032</v>
      </c>
      <c r="D812" s="469">
        <f t="shared" si="78"/>
        <v>2079902.8474999981</v>
      </c>
      <c r="E812" s="511">
        <f t="shared" si="79"/>
        <v>82372.39</v>
      </c>
      <c r="F812" s="511">
        <f t="shared" si="72"/>
        <v>1997530.4574999982</v>
      </c>
      <c r="G812" s="469">
        <f t="shared" si="73"/>
        <v>2038716.652499998</v>
      </c>
      <c r="H812" s="506">
        <f>+J790*G812+E812</f>
        <v>388111.11614660872</v>
      </c>
      <c r="I812" s="512">
        <f>+J791*G812+E812</f>
        <v>388111.11614660872</v>
      </c>
      <c r="J812" s="509">
        <f t="shared" si="74"/>
        <v>0</v>
      </c>
      <c r="K812" s="509"/>
      <c r="L812" s="513"/>
      <c r="M812" s="509">
        <f t="shared" si="75"/>
        <v>0</v>
      </c>
      <c r="N812" s="513"/>
      <c r="O812" s="509">
        <f t="shared" si="76"/>
        <v>0</v>
      </c>
      <c r="P812" s="509">
        <f t="shared" si="77"/>
        <v>0</v>
      </c>
      <c r="Q812" s="471"/>
    </row>
    <row r="813" spans="3:17">
      <c r="C813" s="505">
        <f>IF(D789="","-",+C812+1)</f>
        <v>2033</v>
      </c>
      <c r="D813" s="469">
        <f t="shared" si="78"/>
        <v>1997530.4574999982</v>
      </c>
      <c r="E813" s="511">
        <f t="shared" si="79"/>
        <v>82372.39</v>
      </c>
      <c r="F813" s="511">
        <f t="shared" si="72"/>
        <v>1915158.0674999983</v>
      </c>
      <c r="G813" s="469">
        <f t="shared" si="73"/>
        <v>1956344.2624999983</v>
      </c>
      <c r="H813" s="506">
        <f>+J790*G813+E813</f>
        <v>375758.03630230133</v>
      </c>
      <c r="I813" s="512">
        <f>+J791*G813+E813</f>
        <v>375758.03630230133</v>
      </c>
      <c r="J813" s="509">
        <f t="shared" si="74"/>
        <v>0</v>
      </c>
      <c r="K813" s="509"/>
      <c r="L813" s="513"/>
      <c r="M813" s="509">
        <f t="shared" si="75"/>
        <v>0</v>
      </c>
      <c r="N813" s="513"/>
      <c r="O813" s="509">
        <f t="shared" si="76"/>
        <v>0</v>
      </c>
      <c r="P813" s="509">
        <f t="shared" si="77"/>
        <v>0</v>
      </c>
      <c r="Q813" s="471"/>
    </row>
    <row r="814" spans="3:17">
      <c r="C814" s="505">
        <f>IF(D789="","-",+C813+1)</f>
        <v>2034</v>
      </c>
      <c r="D814" s="469">
        <f t="shared" si="78"/>
        <v>1915158.0674999983</v>
      </c>
      <c r="E814" s="511">
        <f t="shared" si="79"/>
        <v>82372.39</v>
      </c>
      <c r="F814" s="511">
        <f t="shared" si="72"/>
        <v>1832785.6774999984</v>
      </c>
      <c r="G814" s="469">
        <f t="shared" si="73"/>
        <v>1873971.8724999982</v>
      </c>
      <c r="H814" s="506">
        <f>+J790*G814+E814</f>
        <v>363404.95645799389</v>
      </c>
      <c r="I814" s="512">
        <f>+J791*G814+E814</f>
        <v>363404.95645799389</v>
      </c>
      <c r="J814" s="509">
        <f t="shared" si="74"/>
        <v>0</v>
      </c>
      <c r="K814" s="509"/>
      <c r="L814" s="513"/>
      <c r="M814" s="509">
        <f t="shared" si="75"/>
        <v>0</v>
      </c>
      <c r="N814" s="513"/>
      <c r="O814" s="509">
        <f t="shared" si="76"/>
        <v>0</v>
      </c>
      <c r="P814" s="509">
        <f t="shared" si="77"/>
        <v>0</v>
      </c>
      <c r="Q814" s="471"/>
    </row>
    <row r="815" spans="3:17">
      <c r="C815" s="505">
        <f>IF(D789="","-",+C814+1)</f>
        <v>2035</v>
      </c>
      <c r="D815" s="469">
        <f t="shared" si="78"/>
        <v>1832785.6774999984</v>
      </c>
      <c r="E815" s="511">
        <f t="shared" si="79"/>
        <v>82372.39</v>
      </c>
      <c r="F815" s="511">
        <f t="shared" si="72"/>
        <v>1750413.2874999985</v>
      </c>
      <c r="G815" s="469">
        <f t="shared" si="73"/>
        <v>1791599.4824999985</v>
      </c>
      <c r="H815" s="506">
        <f>+J790*G815+E815</f>
        <v>351051.8766136865</v>
      </c>
      <c r="I815" s="512">
        <f>+J791*G815+E815</f>
        <v>351051.8766136865</v>
      </c>
      <c r="J815" s="509">
        <f t="shared" si="74"/>
        <v>0</v>
      </c>
      <c r="K815" s="509"/>
      <c r="L815" s="513"/>
      <c r="M815" s="509">
        <f t="shared" si="75"/>
        <v>0</v>
      </c>
      <c r="N815" s="513"/>
      <c r="O815" s="509">
        <f t="shared" si="76"/>
        <v>0</v>
      </c>
      <c r="P815" s="509">
        <f t="shared" si="77"/>
        <v>0</v>
      </c>
      <c r="Q815" s="471"/>
    </row>
    <row r="816" spans="3:17">
      <c r="C816" s="505">
        <f>IF(D789="","-",+C815+1)</f>
        <v>2036</v>
      </c>
      <c r="D816" s="469">
        <f t="shared" si="78"/>
        <v>1750413.2874999985</v>
      </c>
      <c r="E816" s="511">
        <f t="shared" si="79"/>
        <v>82372.39</v>
      </c>
      <c r="F816" s="511">
        <f t="shared" si="72"/>
        <v>1668040.8974999986</v>
      </c>
      <c r="G816" s="469">
        <f t="shared" si="73"/>
        <v>1709227.0924999984</v>
      </c>
      <c r="H816" s="506">
        <f>+J790*G816+E816</f>
        <v>338698.79676937906</v>
      </c>
      <c r="I816" s="512">
        <f>+J791*G816+E816</f>
        <v>338698.79676937906</v>
      </c>
      <c r="J816" s="509">
        <f t="shared" si="74"/>
        <v>0</v>
      </c>
      <c r="K816" s="509"/>
      <c r="L816" s="513"/>
      <c r="M816" s="509">
        <f t="shared" si="75"/>
        <v>0</v>
      </c>
      <c r="N816" s="513"/>
      <c r="O816" s="509">
        <f t="shared" si="76"/>
        <v>0</v>
      </c>
      <c r="P816" s="509">
        <f t="shared" si="77"/>
        <v>0</v>
      </c>
      <c r="Q816" s="471"/>
    </row>
    <row r="817" spans="3:17">
      <c r="C817" s="505">
        <f>IF(D789="","-",+C816+1)</f>
        <v>2037</v>
      </c>
      <c r="D817" s="469">
        <f t="shared" si="78"/>
        <v>1668040.8974999986</v>
      </c>
      <c r="E817" s="511">
        <f t="shared" si="79"/>
        <v>82372.39</v>
      </c>
      <c r="F817" s="511">
        <f t="shared" si="72"/>
        <v>1585668.5074999987</v>
      </c>
      <c r="G817" s="469">
        <f t="shared" si="73"/>
        <v>1626854.7024999987</v>
      </c>
      <c r="H817" s="506">
        <f>+J790*G817+E817</f>
        <v>326345.71692507167</v>
      </c>
      <c r="I817" s="512">
        <f>+J791*G817+E817</f>
        <v>326345.71692507167</v>
      </c>
      <c r="J817" s="509">
        <f t="shared" si="74"/>
        <v>0</v>
      </c>
      <c r="K817" s="509"/>
      <c r="L817" s="513"/>
      <c r="M817" s="509">
        <f t="shared" si="75"/>
        <v>0</v>
      </c>
      <c r="N817" s="513"/>
      <c r="O817" s="509">
        <f t="shared" si="76"/>
        <v>0</v>
      </c>
      <c r="P817" s="509">
        <f t="shared" si="77"/>
        <v>0</v>
      </c>
      <c r="Q817" s="471"/>
    </row>
    <row r="818" spans="3:17">
      <c r="C818" s="505">
        <f>IF(D789="","-",+C817+1)</f>
        <v>2038</v>
      </c>
      <c r="D818" s="469">
        <f t="shared" si="78"/>
        <v>1585668.5074999987</v>
      </c>
      <c r="E818" s="511">
        <f t="shared" si="79"/>
        <v>82372.39</v>
      </c>
      <c r="F818" s="511">
        <f t="shared" si="72"/>
        <v>1503296.1174999988</v>
      </c>
      <c r="G818" s="469">
        <f t="shared" si="73"/>
        <v>1544482.3124999986</v>
      </c>
      <c r="H818" s="506">
        <f>+J790*G818+E818</f>
        <v>313992.63708076422</v>
      </c>
      <c r="I818" s="512">
        <f>+J791*G818+E818</f>
        <v>313992.63708076422</v>
      </c>
      <c r="J818" s="509">
        <f t="shared" si="74"/>
        <v>0</v>
      </c>
      <c r="K818" s="509"/>
      <c r="L818" s="513"/>
      <c r="M818" s="509">
        <f t="shared" si="75"/>
        <v>0</v>
      </c>
      <c r="N818" s="513"/>
      <c r="O818" s="509">
        <f t="shared" si="76"/>
        <v>0</v>
      </c>
      <c r="P818" s="509">
        <f t="shared" si="77"/>
        <v>0</v>
      </c>
      <c r="Q818" s="471"/>
    </row>
    <row r="819" spans="3:17">
      <c r="C819" s="505">
        <f>IF(D789="","-",+C818+1)</f>
        <v>2039</v>
      </c>
      <c r="D819" s="469">
        <f t="shared" si="78"/>
        <v>1503296.1174999988</v>
      </c>
      <c r="E819" s="511">
        <f t="shared" si="79"/>
        <v>82372.39</v>
      </c>
      <c r="F819" s="511">
        <f t="shared" si="72"/>
        <v>1420923.7274999989</v>
      </c>
      <c r="G819" s="469">
        <f t="shared" si="73"/>
        <v>1462109.9224999989</v>
      </c>
      <c r="H819" s="506">
        <f>+J790*G819+E819</f>
        <v>301639.55723645684</v>
      </c>
      <c r="I819" s="512">
        <f>+J791*G819+E819</f>
        <v>301639.55723645684</v>
      </c>
      <c r="J819" s="509">
        <f t="shared" si="74"/>
        <v>0</v>
      </c>
      <c r="K819" s="509"/>
      <c r="L819" s="513"/>
      <c r="M819" s="509">
        <f t="shared" si="75"/>
        <v>0</v>
      </c>
      <c r="N819" s="513"/>
      <c r="O819" s="509">
        <f t="shared" si="76"/>
        <v>0</v>
      </c>
      <c r="P819" s="509">
        <f t="shared" si="77"/>
        <v>0</v>
      </c>
      <c r="Q819" s="471"/>
    </row>
    <row r="820" spans="3:17">
      <c r="C820" s="505">
        <f>IF(D789="","-",+C819+1)</f>
        <v>2040</v>
      </c>
      <c r="D820" s="469">
        <f t="shared" si="78"/>
        <v>1420923.7274999989</v>
      </c>
      <c r="E820" s="511">
        <f t="shared" si="79"/>
        <v>82372.39</v>
      </c>
      <c r="F820" s="511">
        <f t="shared" si="72"/>
        <v>1338551.337499999</v>
      </c>
      <c r="G820" s="469">
        <f t="shared" si="73"/>
        <v>1379737.5324999988</v>
      </c>
      <c r="H820" s="506">
        <f>+J790*G820+E820</f>
        <v>289286.47739214939</v>
      </c>
      <c r="I820" s="512">
        <f>+J791*G820+E820</f>
        <v>289286.47739214939</v>
      </c>
      <c r="J820" s="509">
        <f t="shared" si="74"/>
        <v>0</v>
      </c>
      <c r="K820" s="509"/>
      <c r="L820" s="513"/>
      <c r="M820" s="509">
        <f t="shared" si="75"/>
        <v>0</v>
      </c>
      <c r="N820" s="513"/>
      <c r="O820" s="509">
        <f t="shared" si="76"/>
        <v>0</v>
      </c>
      <c r="P820" s="509">
        <f t="shared" si="77"/>
        <v>0</v>
      </c>
      <c r="Q820" s="471"/>
    </row>
    <row r="821" spans="3:17">
      <c r="C821" s="505">
        <f>IF(D789="","-",+C820+1)</f>
        <v>2041</v>
      </c>
      <c r="D821" s="469">
        <f t="shared" si="78"/>
        <v>1338551.337499999</v>
      </c>
      <c r="E821" s="511">
        <f t="shared" si="79"/>
        <v>82372.39</v>
      </c>
      <c r="F821" s="511">
        <f t="shared" si="72"/>
        <v>1256178.9474999991</v>
      </c>
      <c r="G821" s="469">
        <f t="shared" si="73"/>
        <v>1297365.1424999991</v>
      </c>
      <c r="H821" s="506">
        <f>+J790*G821+E821</f>
        <v>276933.397547842</v>
      </c>
      <c r="I821" s="512">
        <f>+J791*G821+E821</f>
        <v>276933.397547842</v>
      </c>
      <c r="J821" s="509">
        <f t="shared" si="74"/>
        <v>0</v>
      </c>
      <c r="K821" s="509"/>
      <c r="L821" s="513"/>
      <c r="M821" s="509">
        <f t="shared" si="75"/>
        <v>0</v>
      </c>
      <c r="N821" s="513"/>
      <c r="O821" s="509">
        <f t="shared" si="76"/>
        <v>0</v>
      </c>
      <c r="P821" s="509">
        <f t="shared" si="77"/>
        <v>0</v>
      </c>
      <c r="Q821" s="471"/>
    </row>
    <row r="822" spans="3:17">
      <c r="C822" s="505">
        <f>IF(D789="","-",+C821+1)</f>
        <v>2042</v>
      </c>
      <c r="D822" s="469">
        <f t="shared" si="78"/>
        <v>1256178.9474999991</v>
      </c>
      <c r="E822" s="511">
        <f t="shared" si="79"/>
        <v>82372.39</v>
      </c>
      <c r="F822" s="511">
        <f t="shared" si="72"/>
        <v>1173806.5574999992</v>
      </c>
      <c r="G822" s="469">
        <f t="shared" si="73"/>
        <v>1214992.752499999</v>
      </c>
      <c r="H822" s="506">
        <f>+J790*G822+E822</f>
        <v>264580.3177035345</v>
      </c>
      <c r="I822" s="512">
        <f>+J791*G822+E822</f>
        <v>264580.3177035345</v>
      </c>
      <c r="J822" s="509">
        <f t="shared" si="74"/>
        <v>0</v>
      </c>
      <c r="K822" s="509"/>
      <c r="L822" s="513"/>
      <c r="M822" s="509">
        <f t="shared" si="75"/>
        <v>0</v>
      </c>
      <c r="N822" s="513"/>
      <c r="O822" s="509">
        <f t="shared" si="76"/>
        <v>0</v>
      </c>
      <c r="P822" s="509">
        <f t="shared" si="77"/>
        <v>0</v>
      </c>
      <c r="Q822" s="471"/>
    </row>
    <row r="823" spans="3:17">
      <c r="C823" s="505">
        <f>IF(D789="","-",+C822+1)</f>
        <v>2043</v>
      </c>
      <c r="D823" s="469">
        <f t="shared" si="78"/>
        <v>1173806.5574999992</v>
      </c>
      <c r="E823" s="511">
        <f t="shared" si="79"/>
        <v>82372.39</v>
      </c>
      <c r="F823" s="511">
        <f t="shared" si="72"/>
        <v>1091434.1674999993</v>
      </c>
      <c r="G823" s="469">
        <f t="shared" si="73"/>
        <v>1132620.3624999993</v>
      </c>
      <c r="H823" s="506">
        <f>+J790*G823+E823</f>
        <v>252227.23785922711</v>
      </c>
      <c r="I823" s="512">
        <f>+J791*G823+E823</f>
        <v>252227.23785922711</v>
      </c>
      <c r="J823" s="509">
        <f t="shared" si="74"/>
        <v>0</v>
      </c>
      <c r="K823" s="509"/>
      <c r="L823" s="513"/>
      <c r="M823" s="509">
        <f t="shared" si="75"/>
        <v>0</v>
      </c>
      <c r="N823" s="513"/>
      <c r="O823" s="509">
        <f t="shared" si="76"/>
        <v>0</v>
      </c>
      <c r="P823" s="509">
        <f t="shared" si="77"/>
        <v>0</v>
      </c>
      <c r="Q823" s="471"/>
    </row>
    <row r="824" spans="3:17">
      <c r="C824" s="505">
        <f>IF(D789="","-",+C823+1)</f>
        <v>2044</v>
      </c>
      <c r="D824" s="469">
        <f t="shared" si="78"/>
        <v>1091434.1674999993</v>
      </c>
      <c r="E824" s="511">
        <f t="shared" si="79"/>
        <v>82372.39</v>
      </c>
      <c r="F824" s="511">
        <f t="shared" si="72"/>
        <v>1009061.7774999993</v>
      </c>
      <c r="G824" s="469">
        <f t="shared" si="73"/>
        <v>1050247.9724999992</v>
      </c>
      <c r="H824" s="506">
        <f>+J790*G824+E824</f>
        <v>239874.15801491967</v>
      </c>
      <c r="I824" s="512">
        <f>+J791*G824+E824</f>
        <v>239874.15801491967</v>
      </c>
      <c r="J824" s="509">
        <f t="shared" si="74"/>
        <v>0</v>
      </c>
      <c r="K824" s="509"/>
      <c r="L824" s="513"/>
      <c r="M824" s="509">
        <f t="shared" si="75"/>
        <v>0</v>
      </c>
      <c r="N824" s="513"/>
      <c r="O824" s="509">
        <f t="shared" si="76"/>
        <v>0</v>
      </c>
      <c r="P824" s="509">
        <f t="shared" si="77"/>
        <v>0</v>
      </c>
      <c r="Q824" s="471"/>
    </row>
    <row r="825" spans="3:17">
      <c r="C825" s="505">
        <f>IF(D789="","-",+C824+1)</f>
        <v>2045</v>
      </c>
      <c r="D825" s="469">
        <f t="shared" si="78"/>
        <v>1009061.7774999993</v>
      </c>
      <c r="E825" s="511">
        <f t="shared" si="79"/>
        <v>82372.39</v>
      </c>
      <c r="F825" s="511">
        <f t="shared" si="72"/>
        <v>926689.38749999925</v>
      </c>
      <c r="G825" s="469">
        <f t="shared" si="73"/>
        <v>967875.58249999932</v>
      </c>
      <c r="H825" s="506">
        <f>+J790*G825+E825</f>
        <v>227521.07817061228</v>
      </c>
      <c r="I825" s="512">
        <f>+J791*G825+E825</f>
        <v>227521.07817061228</v>
      </c>
      <c r="J825" s="509">
        <f t="shared" si="74"/>
        <v>0</v>
      </c>
      <c r="K825" s="509"/>
      <c r="L825" s="513"/>
      <c r="M825" s="509">
        <f t="shared" si="75"/>
        <v>0</v>
      </c>
      <c r="N825" s="513"/>
      <c r="O825" s="509">
        <f t="shared" si="76"/>
        <v>0</v>
      </c>
      <c r="P825" s="509">
        <f t="shared" si="77"/>
        <v>0</v>
      </c>
      <c r="Q825" s="471"/>
    </row>
    <row r="826" spans="3:17">
      <c r="C826" s="505">
        <f>IF(D789="","-",+C825+1)</f>
        <v>2046</v>
      </c>
      <c r="D826" s="469">
        <f t="shared" si="78"/>
        <v>926689.38749999925</v>
      </c>
      <c r="E826" s="511">
        <f t="shared" si="79"/>
        <v>82372.39</v>
      </c>
      <c r="F826" s="511">
        <f t="shared" si="72"/>
        <v>844316.99749999924</v>
      </c>
      <c r="G826" s="469">
        <f t="shared" si="73"/>
        <v>885503.19249999919</v>
      </c>
      <c r="H826" s="506">
        <f>+J790*G826+E826</f>
        <v>215167.99832630483</v>
      </c>
      <c r="I826" s="512">
        <f>+J791*G826+E826</f>
        <v>215167.99832630483</v>
      </c>
      <c r="J826" s="509">
        <f t="shared" si="74"/>
        <v>0</v>
      </c>
      <c r="K826" s="509"/>
      <c r="L826" s="513"/>
      <c r="M826" s="509">
        <f t="shared" si="75"/>
        <v>0</v>
      </c>
      <c r="N826" s="513"/>
      <c r="O826" s="509">
        <f t="shared" si="76"/>
        <v>0</v>
      </c>
      <c r="P826" s="509">
        <f t="shared" si="77"/>
        <v>0</v>
      </c>
      <c r="Q826" s="471"/>
    </row>
    <row r="827" spans="3:17">
      <c r="C827" s="505">
        <f>IF(D789="","-",+C826+1)</f>
        <v>2047</v>
      </c>
      <c r="D827" s="469">
        <f t="shared" si="78"/>
        <v>844316.99749999924</v>
      </c>
      <c r="E827" s="511">
        <f t="shared" si="79"/>
        <v>82372.39</v>
      </c>
      <c r="F827" s="511">
        <f t="shared" si="72"/>
        <v>761944.60749999923</v>
      </c>
      <c r="G827" s="469">
        <f t="shared" si="73"/>
        <v>803130.80249999929</v>
      </c>
      <c r="H827" s="506">
        <f>+J790*G827+E827</f>
        <v>202814.91848199739</v>
      </c>
      <c r="I827" s="512">
        <f>+J791*G827+E827</f>
        <v>202814.91848199739</v>
      </c>
      <c r="J827" s="509">
        <f t="shared" si="74"/>
        <v>0</v>
      </c>
      <c r="K827" s="509"/>
      <c r="L827" s="513"/>
      <c r="M827" s="509">
        <f t="shared" si="75"/>
        <v>0</v>
      </c>
      <c r="N827" s="513"/>
      <c r="O827" s="509">
        <f t="shared" si="76"/>
        <v>0</v>
      </c>
      <c r="P827" s="509">
        <f t="shared" si="77"/>
        <v>0</v>
      </c>
      <c r="Q827" s="471"/>
    </row>
    <row r="828" spans="3:17">
      <c r="C828" s="505">
        <f>IF(D789="","-",+C827+1)</f>
        <v>2048</v>
      </c>
      <c r="D828" s="469">
        <f t="shared" si="78"/>
        <v>761944.60749999923</v>
      </c>
      <c r="E828" s="511">
        <f t="shared" si="79"/>
        <v>82372.39</v>
      </c>
      <c r="F828" s="511">
        <f t="shared" si="72"/>
        <v>679572.21749999921</v>
      </c>
      <c r="G828" s="469">
        <f t="shared" si="73"/>
        <v>720758.41249999916</v>
      </c>
      <c r="H828" s="506">
        <f>+J790*G828+E828</f>
        <v>190461.83863768994</v>
      </c>
      <c r="I828" s="512">
        <f>+J791*G828+E828</f>
        <v>190461.83863768994</v>
      </c>
      <c r="J828" s="509">
        <f t="shared" si="74"/>
        <v>0</v>
      </c>
      <c r="K828" s="509"/>
      <c r="L828" s="513"/>
      <c r="M828" s="509">
        <f t="shared" si="75"/>
        <v>0</v>
      </c>
      <c r="N828" s="513"/>
      <c r="O828" s="509">
        <f t="shared" si="76"/>
        <v>0</v>
      </c>
      <c r="P828" s="509">
        <f t="shared" si="77"/>
        <v>0</v>
      </c>
      <c r="Q828" s="471"/>
    </row>
    <row r="829" spans="3:17">
      <c r="C829" s="505">
        <f>IF(D789="","-",+C828+1)</f>
        <v>2049</v>
      </c>
      <c r="D829" s="469">
        <f t="shared" si="78"/>
        <v>679572.21749999921</v>
      </c>
      <c r="E829" s="511">
        <f t="shared" si="79"/>
        <v>82372.39</v>
      </c>
      <c r="F829" s="511">
        <f t="shared" si="72"/>
        <v>597199.8274999992</v>
      </c>
      <c r="G829" s="469">
        <f t="shared" si="73"/>
        <v>638386.02249999926</v>
      </c>
      <c r="H829" s="506">
        <f>+J790*G829+E829</f>
        <v>178108.7587933825</v>
      </c>
      <c r="I829" s="512">
        <f>+J791*G829+E829</f>
        <v>178108.7587933825</v>
      </c>
      <c r="J829" s="509">
        <f t="shared" si="74"/>
        <v>0</v>
      </c>
      <c r="K829" s="509"/>
      <c r="L829" s="513"/>
      <c r="M829" s="509">
        <f t="shared" si="75"/>
        <v>0</v>
      </c>
      <c r="N829" s="513"/>
      <c r="O829" s="509">
        <f t="shared" si="76"/>
        <v>0</v>
      </c>
      <c r="P829" s="509">
        <f t="shared" si="77"/>
        <v>0</v>
      </c>
      <c r="Q829" s="471"/>
    </row>
    <row r="830" spans="3:17">
      <c r="C830" s="505">
        <f>IF(D789="","-",+C829+1)</f>
        <v>2050</v>
      </c>
      <c r="D830" s="469">
        <f t="shared" si="78"/>
        <v>597199.8274999992</v>
      </c>
      <c r="E830" s="511">
        <f t="shared" si="79"/>
        <v>82372.39</v>
      </c>
      <c r="F830" s="511">
        <f t="shared" si="72"/>
        <v>514827.43749999919</v>
      </c>
      <c r="G830" s="469">
        <f t="shared" si="73"/>
        <v>556013.63249999913</v>
      </c>
      <c r="H830" s="506">
        <f>+J790*G830+E830</f>
        <v>165755.67894907505</v>
      </c>
      <c r="I830" s="512">
        <f>+J791*G830+E830</f>
        <v>165755.67894907505</v>
      </c>
      <c r="J830" s="509">
        <f t="shared" si="74"/>
        <v>0</v>
      </c>
      <c r="K830" s="509"/>
      <c r="L830" s="513"/>
      <c r="M830" s="509">
        <f t="shared" si="75"/>
        <v>0</v>
      </c>
      <c r="N830" s="513"/>
      <c r="O830" s="509">
        <f t="shared" si="76"/>
        <v>0</v>
      </c>
      <c r="P830" s="509">
        <f t="shared" si="77"/>
        <v>0</v>
      </c>
      <c r="Q830" s="471"/>
    </row>
    <row r="831" spans="3:17">
      <c r="C831" s="505">
        <f>IF(D789="","-",+C830+1)</f>
        <v>2051</v>
      </c>
      <c r="D831" s="469">
        <f t="shared" si="78"/>
        <v>514827.43749999919</v>
      </c>
      <c r="E831" s="511">
        <f t="shared" si="79"/>
        <v>82372.39</v>
      </c>
      <c r="F831" s="511">
        <f t="shared" si="72"/>
        <v>432455.04749999917</v>
      </c>
      <c r="G831" s="469">
        <f t="shared" si="73"/>
        <v>473641.24249999918</v>
      </c>
      <c r="H831" s="506">
        <f>+J790*G831+E831</f>
        <v>153402.59910476764</v>
      </c>
      <c r="I831" s="512">
        <f>+J791*G831+E831</f>
        <v>153402.59910476764</v>
      </c>
      <c r="J831" s="509">
        <f t="shared" si="74"/>
        <v>0</v>
      </c>
      <c r="K831" s="509"/>
      <c r="L831" s="513"/>
      <c r="M831" s="509">
        <f t="shared" si="75"/>
        <v>0</v>
      </c>
      <c r="N831" s="513"/>
      <c r="O831" s="509">
        <f t="shared" si="76"/>
        <v>0</v>
      </c>
      <c r="P831" s="509">
        <f t="shared" si="77"/>
        <v>0</v>
      </c>
      <c r="Q831" s="471"/>
    </row>
    <row r="832" spans="3:17">
      <c r="C832" s="505">
        <f>IF(D789="","-",+C831+1)</f>
        <v>2052</v>
      </c>
      <c r="D832" s="469">
        <f t="shared" si="78"/>
        <v>432455.04749999917</v>
      </c>
      <c r="E832" s="511">
        <f t="shared" si="79"/>
        <v>82372.39</v>
      </c>
      <c r="F832" s="511">
        <f t="shared" si="72"/>
        <v>350082.65749999916</v>
      </c>
      <c r="G832" s="469">
        <f t="shared" si="73"/>
        <v>391268.85249999916</v>
      </c>
      <c r="H832" s="506">
        <f>+J790*G832+E832</f>
        <v>141049.51926046019</v>
      </c>
      <c r="I832" s="512">
        <f>+J791*G832+E832</f>
        <v>141049.51926046019</v>
      </c>
      <c r="J832" s="509">
        <f t="shared" si="74"/>
        <v>0</v>
      </c>
      <c r="K832" s="509"/>
      <c r="L832" s="513"/>
      <c r="M832" s="509">
        <f t="shared" si="75"/>
        <v>0</v>
      </c>
      <c r="N832" s="513"/>
      <c r="O832" s="509">
        <f t="shared" si="76"/>
        <v>0</v>
      </c>
      <c r="P832" s="509">
        <f t="shared" si="77"/>
        <v>0</v>
      </c>
      <c r="Q832" s="471"/>
    </row>
    <row r="833" spans="3:17">
      <c r="C833" s="505">
        <f>IF(D789="","-",+C832+1)</f>
        <v>2053</v>
      </c>
      <c r="D833" s="469">
        <f t="shared" si="78"/>
        <v>350082.65749999916</v>
      </c>
      <c r="E833" s="511">
        <f t="shared" si="79"/>
        <v>82372.39</v>
      </c>
      <c r="F833" s="511">
        <f t="shared" si="72"/>
        <v>267710.26749999914</v>
      </c>
      <c r="G833" s="469">
        <f t="shared" si="73"/>
        <v>308896.46249999915</v>
      </c>
      <c r="H833" s="506">
        <f>+J790*G833+E833</f>
        <v>128696.43941615275</v>
      </c>
      <c r="I833" s="512">
        <f>+J791*G833+E833</f>
        <v>128696.43941615275</v>
      </c>
      <c r="J833" s="509">
        <f t="shared" si="74"/>
        <v>0</v>
      </c>
      <c r="K833" s="509"/>
      <c r="L833" s="513"/>
      <c r="M833" s="509">
        <f t="shared" si="75"/>
        <v>0</v>
      </c>
      <c r="N833" s="513"/>
      <c r="O833" s="509">
        <f t="shared" si="76"/>
        <v>0</v>
      </c>
      <c r="P833" s="509">
        <f t="shared" si="77"/>
        <v>0</v>
      </c>
      <c r="Q833" s="471"/>
    </row>
    <row r="834" spans="3:17">
      <c r="C834" s="505">
        <f>IF(D789="","-",+C833+1)</f>
        <v>2054</v>
      </c>
      <c r="D834" s="469">
        <f t="shared" si="78"/>
        <v>267710.26749999914</v>
      </c>
      <c r="E834" s="511">
        <f t="shared" si="79"/>
        <v>82372.39</v>
      </c>
      <c r="F834" s="511">
        <f t="shared" si="72"/>
        <v>185337.87749999913</v>
      </c>
      <c r="G834" s="469">
        <f t="shared" si="73"/>
        <v>226524.07249999914</v>
      </c>
      <c r="H834" s="506">
        <f>+J790*G834+E834</f>
        <v>116343.35957184531</v>
      </c>
      <c r="I834" s="512">
        <f>+J791*G834+E834</f>
        <v>116343.35957184531</v>
      </c>
      <c r="J834" s="509">
        <f t="shared" si="74"/>
        <v>0</v>
      </c>
      <c r="K834" s="509"/>
      <c r="L834" s="513"/>
      <c r="M834" s="509">
        <f t="shared" si="75"/>
        <v>0</v>
      </c>
      <c r="N834" s="513"/>
      <c r="O834" s="509">
        <f t="shared" si="76"/>
        <v>0</v>
      </c>
      <c r="P834" s="509">
        <f t="shared" si="77"/>
        <v>0</v>
      </c>
      <c r="Q834" s="471"/>
    </row>
    <row r="835" spans="3:17">
      <c r="C835" s="505">
        <f>IF(D789="","-",+C834+1)</f>
        <v>2055</v>
      </c>
      <c r="D835" s="469">
        <f t="shared" si="78"/>
        <v>185337.87749999913</v>
      </c>
      <c r="E835" s="511">
        <f t="shared" si="79"/>
        <v>82372.39</v>
      </c>
      <c r="F835" s="511">
        <f t="shared" si="72"/>
        <v>102965.48749999913</v>
      </c>
      <c r="G835" s="469">
        <f t="shared" si="73"/>
        <v>144151.68249999912</v>
      </c>
      <c r="H835" s="506">
        <f>+J790*G835+E835</f>
        <v>103990.27972753788</v>
      </c>
      <c r="I835" s="512">
        <f>+J791*G835+E835</f>
        <v>103990.27972753788</v>
      </c>
      <c r="J835" s="509">
        <f t="shared" si="74"/>
        <v>0</v>
      </c>
      <c r="K835" s="509"/>
      <c r="L835" s="513"/>
      <c r="M835" s="509">
        <f t="shared" si="75"/>
        <v>0</v>
      </c>
      <c r="N835" s="513"/>
      <c r="O835" s="509">
        <f t="shared" si="76"/>
        <v>0</v>
      </c>
      <c r="P835" s="509">
        <f t="shared" si="77"/>
        <v>0</v>
      </c>
      <c r="Q835" s="471"/>
    </row>
    <row r="836" spans="3:17">
      <c r="C836" s="505">
        <f>IF(D789="","-",+C835+1)</f>
        <v>2056</v>
      </c>
      <c r="D836" s="469">
        <f t="shared" si="78"/>
        <v>102965.48749999913</v>
      </c>
      <c r="E836" s="511">
        <f t="shared" si="79"/>
        <v>82372.39</v>
      </c>
      <c r="F836" s="511">
        <f t="shared" si="72"/>
        <v>20593.09749999913</v>
      </c>
      <c r="G836" s="469">
        <f t="shared" si="73"/>
        <v>61779.29249999913</v>
      </c>
      <c r="H836" s="506">
        <f>+J790*G836+E836</f>
        <v>91637.199883230438</v>
      </c>
      <c r="I836" s="512">
        <f>+J791*G836+E836</f>
        <v>91637.199883230438</v>
      </c>
      <c r="J836" s="509">
        <f t="shared" si="74"/>
        <v>0</v>
      </c>
      <c r="K836" s="509"/>
      <c r="L836" s="513"/>
      <c r="M836" s="509">
        <f t="shared" si="75"/>
        <v>0</v>
      </c>
      <c r="N836" s="513"/>
      <c r="O836" s="509">
        <f t="shared" si="76"/>
        <v>0</v>
      </c>
      <c r="P836" s="509">
        <f t="shared" si="77"/>
        <v>0</v>
      </c>
      <c r="Q836" s="471"/>
    </row>
    <row r="837" spans="3:17">
      <c r="C837" s="505">
        <f>IF(D789="","-",+C836+1)</f>
        <v>2057</v>
      </c>
      <c r="D837" s="469">
        <f t="shared" si="78"/>
        <v>20593.09749999913</v>
      </c>
      <c r="E837" s="511">
        <f t="shared" si="79"/>
        <v>20593.09749999913</v>
      </c>
      <c r="F837" s="511">
        <f t="shared" si="72"/>
        <v>0</v>
      </c>
      <c r="G837" s="469">
        <f t="shared" si="73"/>
        <v>10296.548749999565</v>
      </c>
      <c r="H837" s="506">
        <f>+J790*G837+E837</f>
        <v>22137.232480537496</v>
      </c>
      <c r="I837" s="512">
        <f>+J791*G837+E837</f>
        <v>22137.232480537496</v>
      </c>
      <c r="J837" s="509">
        <f t="shared" si="74"/>
        <v>0</v>
      </c>
      <c r="K837" s="509"/>
      <c r="L837" s="513"/>
      <c r="M837" s="509">
        <f t="shared" si="75"/>
        <v>0</v>
      </c>
      <c r="N837" s="513"/>
      <c r="O837" s="509">
        <f t="shared" si="76"/>
        <v>0</v>
      </c>
      <c r="P837" s="509">
        <f t="shared" si="77"/>
        <v>0</v>
      </c>
      <c r="Q837" s="471"/>
    </row>
    <row r="838" spans="3:17">
      <c r="C838" s="505">
        <f>IF(D789="","-",+C837+1)</f>
        <v>2058</v>
      </c>
      <c r="D838" s="469">
        <f t="shared" si="78"/>
        <v>0</v>
      </c>
      <c r="E838" s="511">
        <f t="shared" si="79"/>
        <v>0</v>
      </c>
      <c r="F838" s="511">
        <f t="shared" si="72"/>
        <v>0</v>
      </c>
      <c r="G838" s="469">
        <f t="shared" si="73"/>
        <v>0</v>
      </c>
      <c r="H838" s="506">
        <f>+J790*G838+E838</f>
        <v>0</v>
      </c>
      <c r="I838" s="512">
        <f>+J791*G838+E838</f>
        <v>0</v>
      </c>
      <c r="J838" s="509">
        <f t="shared" si="74"/>
        <v>0</v>
      </c>
      <c r="K838" s="509"/>
      <c r="L838" s="513"/>
      <c r="M838" s="509">
        <f t="shared" si="75"/>
        <v>0</v>
      </c>
      <c r="N838" s="513"/>
      <c r="O838" s="509">
        <f t="shared" si="76"/>
        <v>0</v>
      </c>
      <c r="P838" s="509">
        <f t="shared" si="77"/>
        <v>0</v>
      </c>
      <c r="Q838" s="471"/>
    </row>
    <row r="839" spans="3:17">
      <c r="C839" s="505">
        <f>IF(D789="","-",+C838+1)</f>
        <v>2059</v>
      </c>
      <c r="D839" s="469">
        <f t="shared" si="78"/>
        <v>0</v>
      </c>
      <c r="E839" s="511">
        <f t="shared" si="79"/>
        <v>0</v>
      </c>
      <c r="F839" s="511">
        <f t="shared" si="72"/>
        <v>0</v>
      </c>
      <c r="G839" s="469">
        <f t="shared" si="73"/>
        <v>0</v>
      </c>
      <c r="H839" s="506">
        <f>+J790*G839+E839</f>
        <v>0</v>
      </c>
      <c r="I839" s="512">
        <f>+J791*G839+E839</f>
        <v>0</v>
      </c>
      <c r="J839" s="509">
        <f t="shared" si="74"/>
        <v>0</v>
      </c>
      <c r="K839" s="509"/>
      <c r="L839" s="513"/>
      <c r="M839" s="509">
        <f t="shared" si="75"/>
        <v>0</v>
      </c>
      <c r="N839" s="513"/>
      <c r="O839" s="509">
        <f t="shared" si="76"/>
        <v>0</v>
      </c>
      <c r="P839" s="509">
        <f t="shared" si="77"/>
        <v>0</v>
      </c>
      <c r="Q839" s="471"/>
    </row>
    <row r="840" spans="3:17">
      <c r="C840" s="505">
        <f>IF(D789="","-",+C839+1)</f>
        <v>2060</v>
      </c>
      <c r="D840" s="469">
        <f t="shared" si="78"/>
        <v>0</v>
      </c>
      <c r="E840" s="511">
        <f t="shared" si="79"/>
        <v>0</v>
      </c>
      <c r="F840" s="511">
        <f t="shared" si="72"/>
        <v>0</v>
      </c>
      <c r="G840" s="469">
        <f t="shared" si="73"/>
        <v>0</v>
      </c>
      <c r="H840" s="506">
        <f>+J790*G840+E840</f>
        <v>0</v>
      </c>
      <c r="I840" s="512">
        <f>+J791*G840+E840</f>
        <v>0</v>
      </c>
      <c r="J840" s="509">
        <f t="shared" si="74"/>
        <v>0</v>
      </c>
      <c r="K840" s="509"/>
      <c r="L840" s="513"/>
      <c r="M840" s="509">
        <f t="shared" si="75"/>
        <v>0</v>
      </c>
      <c r="N840" s="513"/>
      <c r="O840" s="509">
        <f t="shared" si="76"/>
        <v>0</v>
      </c>
      <c r="P840" s="509">
        <f t="shared" si="77"/>
        <v>0</v>
      </c>
      <c r="Q840" s="471"/>
    </row>
    <row r="841" spans="3:17">
      <c r="C841" s="505">
        <f>IF(D789="","-",+C840+1)</f>
        <v>2061</v>
      </c>
      <c r="D841" s="469">
        <f t="shared" si="78"/>
        <v>0</v>
      </c>
      <c r="E841" s="511">
        <f t="shared" si="79"/>
        <v>0</v>
      </c>
      <c r="F841" s="511">
        <f t="shared" si="72"/>
        <v>0</v>
      </c>
      <c r="G841" s="469">
        <f t="shared" si="73"/>
        <v>0</v>
      </c>
      <c r="H841" s="506">
        <f>+J790*G841+E841</f>
        <v>0</v>
      </c>
      <c r="I841" s="512">
        <f>+J791*G841+E841</f>
        <v>0</v>
      </c>
      <c r="J841" s="509">
        <f t="shared" si="74"/>
        <v>0</v>
      </c>
      <c r="K841" s="509"/>
      <c r="L841" s="513"/>
      <c r="M841" s="509">
        <f t="shared" si="75"/>
        <v>0</v>
      </c>
      <c r="N841" s="513"/>
      <c r="O841" s="509">
        <f t="shared" si="76"/>
        <v>0</v>
      </c>
      <c r="P841" s="509">
        <f t="shared" si="77"/>
        <v>0</v>
      </c>
      <c r="Q841" s="471"/>
    </row>
    <row r="842" spans="3:17">
      <c r="C842" s="505">
        <f>IF(D789="","-",+C841+1)</f>
        <v>2062</v>
      </c>
      <c r="D842" s="469">
        <f t="shared" si="78"/>
        <v>0</v>
      </c>
      <c r="E842" s="511">
        <f t="shared" si="79"/>
        <v>0</v>
      </c>
      <c r="F842" s="511">
        <f t="shared" si="72"/>
        <v>0</v>
      </c>
      <c r="G842" s="469">
        <f t="shared" si="73"/>
        <v>0</v>
      </c>
      <c r="H842" s="506">
        <f>+J790*G842+E842</f>
        <v>0</v>
      </c>
      <c r="I842" s="512">
        <f>+J791*G842+E842</f>
        <v>0</v>
      </c>
      <c r="J842" s="509">
        <f t="shared" si="74"/>
        <v>0</v>
      </c>
      <c r="K842" s="509"/>
      <c r="L842" s="513"/>
      <c r="M842" s="509">
        <f t="shared" si="75"/>
        <v>0</v>
      </c>
      <c r="N842" s="513"/>
      <c r="O842" s="509">
        <f t="shared" si="76"/>
        <v>0</v>
      </c>
      <c r="P842" s="509">
        <f t="shared" si="77"/>
        <v>0</v>
      </c>
      <c r="Q842" s="471"/>
    </row>
    <row r="843" spans="3:17">
      <c r="C843" s="505">
        <f>IF(D789="","-",+C842+1)</f>
        <v>2063</v>
      </c>
      <c r="D843" s="469">
        <f t="shared" si="78"/>
        <v>0</v>
      </c>
      <c r="E843" s="511">
        <f t="shared" si="79"/>
        <v>0</v>
      </c>
      <c r="F843" s="511">
        <f t="shared" si="72"/>
        <v>0</v>
      </c>
      <c r="G843" s="469">
        <f t="shared" si="73"/>
        <v>0</v>
      </c>
      <c r="H843" s="506">
        <f>+J790*G843+E843</f>
        <v>0</v>
      </c>
      <c r="I843" s="512">
        <f>+J791*G843+E843</f>
        <v>0</v>
      </c>
      <c r="J843" s="509">
        <f t="shared" si="74"/>
        <v>0</v>
      </c>
      <c r="K843" s="509"/>
      <c r="L843" s="513"/>
      <c r="M843" s="509">
        <f t="shared" si="75"/>
        <v>0</v>
      </c>
      <c r="N843" s="513"/>
      <c r="O843" s="509">
        <f t="shared" si="76"/>
        <v>0</v>
      </c>
      <c r="P843" s="509">
        <f t="shared" si="77"/>
        <v>0</v>
      </c>
      <c r="Q843" s="471"/>
    </row>
    <row r="844" spans="3:17">
      <c r="C844" s="505">
        <f>IF(D789="","-",+C843+1)</f>
        <v>2064</v>
      </c>
      <c r="D844" s="469">
        <f t="shared" si="78"/>
        <v>0</v>
      </c>
      <c r="E844" s="511">
        <f t="shared" si="79"/>
        <v>0</v>
      </c>
      <c r="F844" s="511">
        <f t="shared" si="72"/>
        <v>0</v>
      </c>
      <c r="G844" s="469">
        <f t="shared" si="73"/>
        <v>0</v>
      </c>
      <c r="H844" s="506">
        <f>+J790*G844+E844</f>
        <v>0</v>
      </c>
      <c r="I844" s="512">
        <f>+J791*G844+E844</f>
        <v>0</v>
      </c>
      <c r="J844" s="509">
        <f t="shared" si="74"/>
        <v>0</v>
      </c>
      <c r="K844" s="509"/>
      <c r="L844" s="513"/>
      <c r="M844" s="509">
        <f t="shared" si="75"/>
        <v>0</v>
      </c>
      <c r="N844" s="513"/>
      <c r="O844" s="509">
        <f t="shared" si="76"/>
        <v>0</v>
      </c>
      <c r="P844" s="509">
        <f t="shared" si="77"/>
        <v>0</v>
      </c>
      <c r="Q844" s="471"/>
    </row>
    <row r="845" spans="3:17">
      <c r="C845" s="505">
        <f>IF(D789="","-",+C844+1)</f>
        <v>2065</v>
      </c>
      <c r="D845" s="469">
        <f t="shared" si="78"/>
        <v>0</v>
      </c>
      <c r="E845" s="511">
        <f t="shared" si="79"/>
        <v>0</v>
      </c>
      <c r="F845" s="511">
        <f t="shared" si="72"/>
        <v>0</v>
      </c>
      <c r="G845" s="469">
        <f t="shared" si="73"/>
        <v>0</v>
      </c>
      <c r="H845" s="506">
        <f>+J790*G845+E845</f>
        <v>0</v>
      </c>
      <c r="I845" s="512">
        <f>+J791*G845+E845</f>
        <v>0</v>
      </c>
      <c r="J845" s="509">
        <f t="shared" si="74"/>
        <v>0</v>
      </c>
      <c r="K845" s="509"/>
      <c r="L845" s="513"/>
      <c r="M845" s="509">
        <f t="shared" si="75"/>
        <v>0</v>
      </c>
      <c r="N845" s="513"/>
      <c r="O845" s="509">
        <f t="shared" si="76"/>
        <v>0</v>
      </c>
      <c r="P845" s="509">
        <f t="shared" si="77"/>
        <v>0</v>
      </c>
      <c r="Q845" s="471"/>
    </row>
    <row r="846" spans="3:17">
      <c r="C846" s="505">
        <f>IF(D789="","-",+C845+1)</f>
        <v>2066</v>
      </c>
      <c r="D846" s="469">
        <f t="shared" si="78"/>
        <v>0</v>
      </c>
      <c r="E846" s="511">
        <f t="shared" si="79"/>
        <v>0</v>
      </c>
      <c r="F846" s="511">
        <f t="shared" si="72"/>
        <v>0</v>
      </c>
      <c r="G846" s="469">
        <f t="shared" si="73"/>
        <v>0</v>
      </c>
      <c r="H846" s="506">
        <f>+J790*G846+E846</f>
        <v>0</v>
      </c>
      <c r="I846" s="512">
        <f>+J791*G846+E846</f>
        <v>0</v>
      </c>
      <c r="J846" s="509">
        <f t="shared" si="74"/>
        <v>0</v>
      </c>
      <c r="K846" s="509"/>
      <c r="L846" s="513"/>
      <c r="M846" s="509">
        <f t="shared" si="75"/>
        <v>0</v>
      </c>
      <c r="N846" s="513"/>
      <c r="O846" s="509">
        <f t="shared" si="76"/>
        <v>0</v>
      </c>
      <c r="P846" s="509">
        <f t="shared" si="77"/>
        <v>0</v>
      </c>
      <c r="Q846" s="471"/>
    </row>
    <row r="847" spans="3:17">
      <c r="C847" s="505">
        <f>IF(D789="","-",+C846+1)</f>
        <v>2067</v>
      </c>
      <c r="D847" s="469">
        <f t="shared" si="78"/>
        <v>0</v>
      </c>
      <c r="E847" s="511">
        <f t="shared" si="79"/>
        <v>0</v>
      </c>
      <c r="F847" s="511">
        <f t="shared" si="72"/>
        <v>0</v>
      </c>
      <c r="G847" s="469">
        <f t="shared" si="73"/>
        <v>0</v>
      </c>
      <c r="H847" s="506">
        <f>+J790*G847+E847</f>
        <v>0</v>
      </c>
      <c r="I847" s="512">
        <f>+J791*G847+E847</f>
        <v>0</v>
      </c>
      <c r="J847" s="509">
        <f t="shared" si="74"/>
        <v>0</v>
      </c>
      <c r="K847" s="509"/>
      <c r="L847" s="513"/>
      <c r="M847" s="509">
        <f t="shared" si="75"/>
        <v>0</v>
      </c>
      <c r="N847" s="513"/>
      <c r="O847" s="509">
        <f t="shared" si="76"/>
        <v>0</v>
      </c>
      <c r="P847" s="509">
        <f t="shared" si="77"/>
        <v>0</v>
      </c>
      <c r="Q847" s="471"/>
    </row>
    <row r="848" spans="3:17">
      <c r="C848" s="505">
        <f>IF(D789="","-",+C847+1)</f>
        <v>2068</v>
      </c>
      <c r="D848" s="469">
        <f t="shared" si="78"/>
        <v>0</v>
      </c>
      <c r="E848" s="511">
        <f t="shared" si="79"/>
        <v>0</v>
      </c>
      <c r="F848" s="511">
        <f t="shared" si="72"/>
        <v>0</v>
      </c>
      <c r="G848" s="469">
        <f t="shared" si="73"/>
        <v>0</v>
      </c>
      <c r="H848" s="506">
        <f>+J790*G848+E848</f>
        <v>0</v>
      </c>
      <c r="I848" s="512">
        <f>+J791*G848+E848</f>
        <v>0</v>
      </c>
      <c r="J848" s="509">
        <f t="shared" si="74"/>
        <v>0</v>
      </c>
      <c r="K848" s="509"/>
      <c r="L848" s="513"/>
      <c r="M848" s="509">
        <f t="shared" si="75"/>
        <v>0</v>
      </c>
      <c r="N848" s="513"/>
      <c r="O848" s="509">
        <f t="shared" si="76"/>
        <v>0</v>
      </c>
      <c r="P848" s="509">
        <f t="shared" si="77"/>
        <v>0</v>
      </c>
      <c r="Q848" s="471"/>
    </row>
    <row r="849" spans="1:17">
      <c r="C849" s="505">
        <f>IF(D789="","-",+C848+1)</f>
        <v>2069</v>
      </c>
      <c r="D849" s="469">
        <f t="shared" si="78"/>
        <v>0</v>
      </c>
      <c r="E849" s="511">
        <f t="shared" si="79"/>
        <v>0</v>
      </c>
      <c r="F849" s="511">
        <f t="shared" si="72"/>
        <v>0</v>
      </c>
      <c r="G849" s="469">
        <f t="shared" si="73"/>
        <v>0</v>
      </c>
      <c r="H849" s="506">
        <f>+J790*G849+E849</f>
        <v>0</v>
      </c>
      <c r="I849" s="512">
        <f>+J791*G849+E849</f>
        <v>0</v>
      </c>
      <c r="J849" s="509">
        <f t="shared" si="74"/>
        <v>0</v>
      </c>
      <c r="K849" s="509"/>
      <c r="L849" s="513"/>
      <c r="M849" s="509">
        <f t="shared" si="75"/>
        <v>0</v>
      </c>
      <c r="N849" s="513"/>
      <c r="O849" s="509">
        <f t="shared" si="76"/>
        <v>0</v>
      </c>
      <c r="P849" s="509">
        <f t="shared" si="77"/>
        <v>0</v>
      </c>
      <c r="Q849" s="471"/>
    </row>
    <row r="850" spans="1:17">
      <c r="C850" s="505">
        <f>IF(D789="","-",+C849+1)</f>
        <v>2070</v>
      </c>
      <c r="D850" s="469">
        <f t="shared" si="78"/>
        <v>0</v>
      </c>
      <c r="E850" s="511">
        <f t="shared" si="79"/>
        <v>0</v>
      </c>
      <c r="F850" s="511">
        <f t="shared" si="72"/>
        <v>0</v>
      </c>
      <c r="G850" s="469">
        <f t="shared" si="73"/>
        <v>0</v>
      </c>
      <c r="H850" s="506">
        <f>+J790*G850+E850</f>
        <v>0</v>
      </c>
      <c r="I850" s="512">
        <f>+J791*G850+E850</f>
        <v>0</v>
      </c>
      <c r="J850" s="509">
        <f t="shared" si="74"/>
        <v>0</v>
      </c>
      <c r="K850" s="509"/>
      <c r="L850" s="513"/>
      <c r="M850" s="509">
        <f t="shared" si="75"/>
        <v>0</v>
      </c>
      <c r="N850" s="513"/>
      <c r="O850" s="509">
        <f t="shared" si="76"/>
        <v>0</v>
      </c>
      <c r="P850" s="509">
        <f t="shared" si="77"/>
        <v>0</v>
      </c>
      <c r="Q850" s="471"/>
    </row>
    <row r="851" spans="1:17">
      <c r="C851" s="505">
        <f>IF(D789="","-",+C850+1)</f>
        <v>2071</v>
      </c>
      <c r="D851" s="469">
        <f t="shared" si="78"/>
        <v>0</v>
      </c>
      <c r="E851" s="511">
        <f t="shared" si="79"/>
        <v>0</v>
      </c>
      <c r="F851" s="511">
        <f t="shared" si="72"/>
        <v>0</v>
      </c>
      <c r="G851" s="469">
        <f t="shared" si="73"/>
        <v>0</v>
      </c>
      <c r="H851" s="506">
        <f>+J790*G851+E851</f>
        <v>0</v>
      </c>
      <c r="I851" s="512">
        <f>+J791*G851+E851</f>
        <v>0</v>
      </c>
      <c r="J851" s="509">
        <f t="shared" si="74"/>
        <v>0</v>
      </c>
      <c r="K851" s="509"/>
      <c r="L851" s="513"/>
      <c r="M851" s="509">
        <f t="shared" si="75"/>
        <v>0</v>
      </c>
      <c r="N851" s="513"/>
      <c r="O851" s="509">
        <f t="shared" si="76"/>
        <v>0</v>
      </c>
      <c r="P851" s="509">
        <f t="shared" si="77"/>
        <v>0</v>
      </c>
      <c r="Q851" s="471"/>
    </row>
    <row r="852" spans="1:17">
      <c r="C852" s="505">
        <f>IF(D789="","-",+C851+1)</f>
        <v>2072</v>
      </c>
      <c r="D852" s="469">
        <f t="shared" si="78"/>
        <v>0</v>
      </c>
      <c r="E852" s="511">
        <f t="shared" si="79"/>
        <v>0</v>
      </c>
      <c r="F852" s="511">
        <f t="shared" si="72"/>
        <v>0</v>
      </c>
      <c r="G852" s="469">
        <f t="shared" si="73"/>
        <v>0</v>
      </c>
      <c r="H852" s="506">
        <f>+J790*G852+E852</f>
        <v>0</v>
      </c>
      <c r="I852" s="512">
        <f>+J791*G852+E852</f>
        <v>0</v>
      </c>
      <c r="J852" s="509">
        <f t="shared" si="74"/>
        <v>0</v>
      </c>
      <c r="K852" s="509"/>
      <c r="L852" s="513"/>
      <c r="M852" s="509">
        <f t="shared" si="75"/>
        <v>0</v>
      </c>
      <c r="N852" s="513"/>
      <c r="O852" s="509">
        <f t="shared" si="76"/>
        <v>0</v>
      </c>
      <c r="P852" s="509">
        <f t="shared" si="77"/>
        <v>0</v>
      </c>
      <c r="Q852" s="471"/>
    </row>
    <row r="853" spans="1:17">
      <c r="C853" s="505">
        <f>IF(D789="","-",+C852+1)</f>
        <v>2073</v>
      </c>
      <c r="D853" s="469">
        <f t="shared" si="78"/>
        <v>0</v>
      </c>
      <c r="E853" s="511">
        <f t="shared" si="79"/>
        <v>0</v>
      </c>
      <c r="F853" s="511">
        <f t="shared" si="72"/>
        <v>0</v>
      </c>
      <c r="G853" s="469">
        <f t="shared" si="73"/>
        <v>0</v>
      </c>
      <c r="H853" s="506">
        <f>+J790*G853+E853</f>
        <v>0</v>
      </c>
      <c r="I853" s="512">
        <f>+J791*G853+E853</f>
        <v>0</v>
      </c>
      <c r="J853" s="509">
        <f t="shared" si="74"/>
        <v>0</v>
      </c>
      <c r="K853" s="509"/>
      <c r="L853" s="513"/>
      <c r="M853" s="509">
        <f t="shared" si="75"/>
        <v>0</v>
      </c>
      <c r="N853" s="513"/>
      <c r="O853" s="509">
        <f t="shared" si="76"/>
        <v>0</v>
      </c>
      <c r="P853" s="509">
        <f t="shared" si="77"/>
        <v>0</v>
      </c>
      <c r="Q853" s="471"/>
    </row>
    <row r="854" spans="1:17" ht="13.5" thickBot="1">
      <c r="C854" s="515">
        <f>IF(D789="","-",+C853+1)</f>
        <v>2074</v>
      </c>
      <c r="D854" s="516">
        <f t="shared" si="78"/>
        <v>0</v>
      </c>
      <c r="E854" s="976">
        <f t="shared" si="79"/>
        <v>0</v>
      </c>
      <c r="F854" s="517">
        <f t="shared" si="72"/>
        <v>0</v>
      </c>
      <c r="G854" s="516">
        <f t="shared" si="73"/>
        <v>0</v>
      </c>
      <c r="H854" s="518">
        <f>+J790*G854+E854</f>
        <v>0</v>
      </c>
      <c r="I854" s="518">
        <f>+J791*G854+E854</f>
        <v>0</v>
      </c>
      <c r="J854" s="519">
        <f t="shared" si="74"/>
        <v>0</v>
      </c>
      <c r="K854" s="509"/>
      <c r="L854" s="520"/>
      <c r="M854" s="519">
        <f t="shared" si="75"/>
        <v>0</v>
      </c>
      <c r="N854" s="520"/>
      <c r="O854" s="519">
        <f t="shared" si="76"/>
        <v>0</v>
      </c>
      <c r="P854" s="519">
        <f t="shared" si="77"/>
        <v>0</v>
      </c>
      <c r="Q854" s="471"/>
    </row>
    <row r="855" spans="1:17">
      <c r="C855" s="469" t="s">
        <v>288</v>
      </c>
      <c r="D855" s="467"/>
      <c r="E855" s="467">
        <f>SUM(E795:E854)</f>
        <v>3459640.3800000004</v>
      </c>
      <c r="F855" s="467"/>
      <c r="G855" s="467"/>
      <c r="H855" s="467">
        <f>SUM(H795:H854)</f>
        <v>14484764.141044376</v>
      </c>
      <c r="I855" s="467">
        <f>SUM(I795:I854)</f>
        <v>14484764.141044376</v>
      </c>
      <c r="J855" s="467">
        <f>SUM(J795:J854)</f>
        <v>0</v>
      </c>
      <c r="K855" s="467"/>
      <c r="L855" s="467"/>
      <c r="M855" s="467"/>
      <c r="N855" s="467"/>
      <c r="O855" s="467"/>
      <c r="Q855" s="467"/>
    </row>
    <row r="856" spans="1:17">
      <c r="D856" s="79"/>
      <c r="E856" s="4"/>
      <c r="F856" s="4"/>
      <c r="G856" s="4"/>
      <c r="H856" s="4"/>
      <c r="I856" s="452"/>
      <c r="J856" s="452"/>
      <c r="K856" s="467"/>
      <c r="L856" s="452"/>
      <c r="M856" s="452"/>
      <c r="N856" s="452"/>
      <c r="O856" s="452"/>
      <c r="Q856" s="467"/>
    </row>
    <row r="857" spans="1:17">
      <c r="C857" s="4" t="s">
        <v>595</v>
      </c>
      <c r="D857" s="79"/>
      <c r="E857" s="4"/>
      <c r="F857" s="4"/>
      <c r="G857" s="4"/>
      <c r="H857" s="4"/>
      <c r="I857" s="452"/>
      <c r="J857" s="452"/>
      <c r="K857" s="467"/>
      <c r="L857" s="452"/>
      <c r="M857" s="452"/>
      <c r="N857" s="452"/>
      <c r="O857" s="452"/>
      <c r="Q857" s="467"/>
    </row>
    <row r="858" spans="1:17">
      <c r="D858" s="79"/>
      <c r="E858" s="4"/>
      <c r="F858" s="4"/>
      <c r="G858" s="4"/>
      <c r="H858" s="4"/>
      <c r="I858" s="452"/>
      <c r="J858" s="452"/>
      <c r="K858" s="467"/>
      <c r="L858" s="452"/>
      <c r="M858" s="452"/>
      <c r="N858" s="452"/>
      <c r="O858" s="452"/>
      <c r="Q858" s="467"/>
    </row>
    <row r="859" spans="1:17">
      <c r="C859" s="4" t="s">
        <v>596</v>
      </c>
      <c r="D859" s="469"/>
      <c r="E859" s="469"/>
      <c r="F859" s="469"/>
      <c r="G859" s="469"/>
      <c r="H859" s="467"/>
      <c r="I859" s="467"/>
      <c r="J859" s="471"/>
      <c r="K859" s="471"/>
      <c r="L859" s="471"/>
      <c r="M859" s="471"/>
      <c r="N859" s="471"/>
      <c r="O859" s="471"/>
      <c r="Q859" s="471"/>
    </row>
    <row r="860" spans="1:17">
      <c r="C860" s="4" t="s">
        <v>476</v>
      </c>
      <c r="D860" s="469"/>
      <c r="E860" s="469"/>
      <c r="F860" s="469"/>
      <c r="G860" s="469"/>
      <c r="H860" s="467"/>
      <c r="I860" s="467"/>
      <c r="J860" s="471"/>
      <c r="K860" s="471"/>
      <c r="L860" s="471"/>
      <c r="M860" s="471"/>
      <c r="N860" s="471"/>
      <c r="O860" s="471"/>
      <c r="Q860" s="471"/>
    </row>
    <row r="861" spans="1:17">
      <c r="C861" s="4" t="s">
        <v>289</v>
      </c>
      <c r="D861" s="469"/>
      <c r="E861" s="469"/>
      <c r="F861" s="469"/>
      <c r="G861" s="469"/>
      <c r="H861" s="467"/>
      <c r="I861" s="467"/>
      <c r="J861" s="471"/>
      <c r="K861" s="471"/>
      <c r="L861" s="471"/>
      <c r="M861" s="471"/>
      <c r="N861" s="471"/>
      <c r="O861" s="471"/>
      <c r="Q861" s="471"/>
    </row>
    <row r="862" spans="1:17" ht="20.25">
      <c r="A862" s="411" t="s">
        <v>762</v>
      </c>
      <c r="B862" s="4"/>
      <c r="C862" s="4"/>
      <c r="D862" s="79"/>
      <c r="E862" s="4"/>
      <c r="F862" s="81"/>
      <c r="G862" s="81"/>
      <c r="H862" s="4"/>
      <c r="I862" s="452"/>
      <c r="L862" s="11"/>
      <c r="M862" s="11"/>
      <c r="N862" s="11"/>
      <c r="O862" s="11" t="str">
        <f>"Page "&amp;SUM(Q$3:Q862)&amp;" of "</f>
        <v xml:space="preserve">Page 11 of </v>
      </c>
      <c r="P862" s="412">
        <f>COUNT(Q$8:Q$58212)</f>
        <v>23</v>
      </c>
      <c r="Q862" s="539">
        <v>1</v>
      </c>
    </row>
    <row r="863" spans="1:17">
      <c r="B863" s="4"/>
      <c r="C863" s="4"/>
      <c r="D863" s="79"/>
      <c r="E863" s="4"/>
      <c r="F863" s="4"/>
      <c r="G863" s="4"/>
      <c r="H863" s="4"/>
      <c r="I863" s="452"/>
      <c r="J863" s="4"/>
      <c r="K863" s="4"/>
    </row>
    <row r="864" spans="1:17" ht="18">
      <c r="B864" s="413" t="s">
        <v>174</v>
      </c>
      <c r="C864" s="472" t="s">
        <v>290</v>
      </c>
      <c r="D864" s="79"/>
      <c r="E864" s="4"/>
      <c r="F864" s="4"/>
      <c r="G864" s="4"/>
      <c r="H864" s="4"/>
      <c r="I864" s="452"/>
      <c r="J864" s="452"/>
      <c r="K864" s="467"/>
      <c r="L864" s="452"/>
      <c r="M864" s="452"/>
      <c r="N864" s="452"/>
      <c r="O864" s="452"/>
      <c r="Q864" s="467"/>
    </row>
    <row r="865" spans="1:17" ht="18.75">
      <c r="B865" s="413"/>
      <c r="C865" s="13"/>
      <c r="D865" s="79"/>
      <c r="E865" s="4"/>
      <c r="F865" s="4"/>
      <c r="G865" s="4"/>
      <c r="H865" s="4"/>
      <c r="I865" s="452"/>
      <c r="J865" s="452"/>
      <c r="K865" s="467"/>
      <c r="L865" s="452"/>
      <c r="M865" s="452"/>
      <c r="N865" s="452"/>
      <c r="O865" s="452"/>
      <c r="Q865" s="467"/>
    </row>
    <row r="866" spans="1:17" ht="18.75">
      <c r="B866" s="413"/>
      <c r="C866" s="13" t="s">
        <v>291</v>
      </c>
      <c r="D866" s="79"/>
      <c r="E866" s="4"/>
      <c r="F866" s="4"/>
      <c r="G866" s="4"/>
      <c r="H866" s="4"/>
      <c r="I866" s="452"/>
      <c r="J866" s="452"/>
      <c r="K866" s="467"/>
      <c r="L866" s="452"/>
      <c r="M866" s="452"/>
      <c r="N866" s="452"/>
      <c r="O866" s="452"/>
      <c r="Q866" s="467"/>
    </row>
    <row r="867" spans="1:17" ht="15.75" thickBot="1">
      <c r="C867" s="247"/>
      <c r="D867" s="79"/>
      <c r="E867" s="4"/>
      <c r="F867" s="4"/>
      <c r="G867" s="4"/>
      <c r="H867" s="4"/>
      <c r="I867" s="452"/>
      <c r="J867" s="452"/>
      <c r="K867" s="467"/>
      <c r="L867" s="452"/>
      <c r="M867" s="452"/>
      <c r="N867" s="452"/>
      <c r="O867" s="452"/>
      <c r="Q867" s="467"/>
    </row>
    <row r="868" spans="1:17" ht="15.75">
      <c r="C868" s="414" t="s">
        <v>292</v>
      </c>
      <c r="D868" s="79"/>
      <c r="E868" s="4"/>
      <c r="F868" s="4"/>
      <c r="G868" s="4"/>
      <c r="H868" s="635"/>
      <c r="I868" s="4" t="s">
        <v>271</v>
      </c>
      <c r="J868" s="4"/>
      <c r="K868" s="4"/>
      <c r="L868" s="540">
        <f>+J874</f>
        <v>2025</v>
      </c>
      <c r="M868" s="524" t="s">
        <v>254</v>
      </c>
      <c r="N868" s="524" t="s">
        <v>255</v>
      </c>
      <c r="O868" s="525" t="s">
        <v>256</v>
      </c>
    </row>
    <row r="869" spans="1:17" ht="15.75">
      <c r="C869" s="414"/>
      <c r="D869" s="79"/>
      <c r="E869" s="4"/>
      <c r="F869" s="4"/>
      <c r="H869" s="4"/>
      <c r="I869" s="476"/>
      <c r="J869" s="476"/>
      <c r="K869" s="477"/>
      <c r="L869" s="541" t="s">
        <v>455</v>
      </c>
      <c r="M869" s="542">
        <f>VLOOKUP(J874,C881:P940,10)</f>
        <v>574582.11232564016</v>
      </c>
      <c r="N869" s="542">
        <f>VLOOKUP(J874,C881:P940,12)</f>
        <v>574582.11232564016</v>
      </c>
      <c r="O869" s="543">
        <f>+N869-M869</f>
        <v>0</v>
      </c>
      <c r="Q869" s="477"/>
    </row>
    <row r="870" spans="1:17" ht="12.95" customHeight="1">
      <c r="C870" s="479" t="s">
        <v>293</v>
      </c>
      <c r="D870" s="1276" t="s">
        <v>933</v>
      </c>
      <c r="E870" s="1276"/>
      <c r="F870" s="1276"/>
      <c r="G870" s="1276"/>
      <c r="H870" s="1276"/>
      <c r="I870" s="1276"/>
      <c r="J870" s="452"/>
      <c r="K870" s="467"/>
      <c r="L870" s="541" t="s">
        <v>456</v>
      </c>
      <c r="M870" s="544">
        <f>VLOOKUP(J874,C881:P940,6)</f>
        <v>589769.55385125789</v>
      </c>
      <c r="N870" s="544">
        <f>VLOOKUP(J874,C881:P940,7)</f>
        <v>589769.55385125789</v>
      </c>
      <c r="O870" s="545">
        <f>+N870-M870</f>
        <v>0</v>
      </c>
      <c r="Q870" s="467"/>
    </row>
    <row r="871" spans="1:17" ht="13.5" thickBot="1">
      <c r="C871" s="481"/>
      <c r="D871" s="1276" t="s">
        <v>114</v>
      </c>
      <c r="E871" s="1276"/>
      <c r="F871" s="1276"/>
      <c r="G871" s="1276"/>
      <c r="H871" s="1276"/>
      <c r="I871" s="1276"/>
      <c r="J871" s="452"/>
      <c r="K871" s="467"/>
      <c r="L871" s="492" t="s">
        <v>457</v>
      </c>
      <c r="M871" s="546">
        <f>+M870-M869</f>
        <v>15187.441525617731</v>
      </c>
      <c r="N871" s="546">
        <f>+N870-N869</f>
        <v>15187.441525617731</v>
      </c>
      <c r="O871" s="547">
        <f>+O870-O869</f>
        <v>0</v>
      </c>
      <c r="Q871" s="467"/>
    </row>
    <row r="872" spans="1:17" ht="13.5" thickBot="1">
      <c r="C872" s="481"/>
      <c r="D872" s="4"/>
      <c r="E872" s="483"/>
      <c r="F872" s="483"/>
      <c r="G872" s="483"/>
      <c r="H872" s="483"/>
      <c r="I872" s="483"/>
      <c r="J872" s="483"/>
      <c r="K872" s="483"/>
      <c r="L872" s="483"/>
      <c r="M872" s="483"/>
      <c r="N872" s="483"/>
      <c r="O872" s="483"/>
      <c r="Q872" s="483"/>
    </row>
    <row r="873" spans="1:17" ht="13.5" thickBot="1">
      <c r="C873" s="484" t="s">
        <v>294</v>
      </c>
      <c r="D873" s="485"/>
      <c r="E873" s="485"/>
      <c r="F873" s="485"/>
      <c r="G873" s="485"/>
      <c r="H873" s="485"/>
      <c r="I873" s="485"/>
      <c r="J873" s="485"/>
      <c r="Q873"/>
    </row>
    <row r="874" spans="1:17" ht="15">
      <c r="A874" s="977"/>
      <c r="C874" s="487" t="s">
        <v>272</v>
      </c>
      <c r="D874" s="926">
        <v>4474020.16</v>
      </c>
      <c r="E874" s="4" t="s">
        <v>273</v>
      </c>
      <c r="H874" s="79"/>
      <c r="I874" s="79"/>
      <c r="J874" s="488">
        <f>$J$95</f>
        <v>2025</v>
      </c>
      <c r="K874" s="135"/>
      <c r="L874" s="1287" t="s">
        <v>274</v>
      </c>
      <c r="M874" s="1287"/>
      <c r="N874" s="1287"/>
      <c r="O874" s="1287"/>
      <c r="Q874" s="135"/>
    </row>
    <row r="875" spans="1:17">
      <c r="A875" s="977"/>
      <c r="C875" s="487" t="s">
        <v>275</v>
      </c>
      <c r="D875" s="636">
        <v>2013</v>
      </c>
      <c r="E875" s="487" t="s">
        <v>276</v>
      </c>
      <c r="F875" s="79"/>
      <c r="G875" s="79"/>
      <c r="I875"/>
      <c r="J875" s="638">
        <v>0</v>
      </c>
      <c r="K875" s="489"/>
      <c r="L875" s="467" t="s">
        <v>475</v>
      </c>
      <c r="Q875" s="489"/>
    </row>
    <row r="876" spans="1:17">
      <c r="A876" s="977"/>
      <c r="C876" s="487" t="s">
        <v>277</v>
      </c>
      <c r="D876" s="926">
        <v>9</v>
      </c>
      <c r="E876" s="487" t="s">
        <v>278</v>
      </c>
      <c r="F876" s="79"/>
      <c r="G876" s="79"/>
      <c r="I876"/>
      <c r="J876" s="490">
        <f>$F$70</f>
        <v>0.14996626714737105</v>
      </c>
      <c r="K876" s="81"/>
      <c r="L876" s="4" t="str">
        <f>"          INPUT TRUE-UP ARR (WITH &amp; WITHOUT INCENTIVES) FROM EACH PRIOR YEAR"</f>
        <v xml:space="preserve">          INPUT TRUE-UP ARR (WITH &amp; WITHOUT INCENTIVES) FROM EACH PRIOR YEAR</v>
      </c>
      <c r="Q876" s="81"/>
    </row>
    <row r="877" spans="1:17">
      <c r="A877" s="977"/>
      <c r="C877" s="487" t="s">
        <v>279</v>
      </c>
      <c r="D877" s="491">
        <f>H79</f>
        <v>42</v>
      </c>
      <c r="E877" s="487" t="s">
        <v>280</v>
      </c>
      <c r="F877" s="79"/>
      <c r="G877" s="79"/>
      <c r="I877"/>
      <c r="J877" s="490">
        <f>IF(H868="",J876,$F$69)</f>
        <v>0.14996626714737105</v>
      </c>
      <c r="K877" s="81"/>
      <c r="L877" s="4" t="s">
        <v>362</v>
      </c>
      <c r="M877" s="81"/>
      <c r="N877" s="81"/>
      <c r="O877" s="81"/>
      <c r="Q877" s="81"/>
    </row>
    <row r="878" spans="1:17" ht="13.5" thickBot="1">
      <c r="A878" s="977"/>
      <c r="C878" s="487" t="s">
        <v>281</v>
      </c>
      <c r="D878" s="637" t="s">
        <v>923</v>
      </c>
      <c r="E878" s="492" t="s">
        <v>282</v>
      </c>
      <c r="F878" s="493"/>
      <c r="G878" s="493"/>
      <c r="H878" s="494"/>
      <c r="I878" s="494"/>
      <c r="J878" s="480">
        <f>IF(D874=0,0,D874/D877)</f>
        <v>106524.28952380952</v>
      </c>
      <c r="K878" s="467"/>
      <c r="L878" s="467" t="s">
        <v>363</v>
      </c>
      <c r="M878" s="467"/>
      <c r="N878" s="467"/>
      <c r="O878" s="467"/>
      <c r="Q878" s="467"/>
    </row>
    <row r="879" spans="1:17" ht="38.25">
      <c r="A879" s="12"/>
      <c r="B879" s="12"/>
      <c r="C879" s="495" t="s">
        <v>272</v>
      </c>
      <c r="D879" s="496" t="s">
        <v>283</v>
      </c>
      <c r="E879" s="497" t="s">
        <v>284</v>
      </c>
      <c r="F879" s="496" t="s">
        <v>285</v>
      </c>
      <c r="G879" s="496" t="s">
        <v>458</v>
      </c>
      <c r="H879" s="497" t="s">
        <v>356</v>
      </c>
      <c r="I879" s="498" t="s">
        <v>356</v>
      </c>
      <c r="J879" s="495" t="s">
        <v>295</v>
      </c>
      <c r="K879" s="499"/>
      <c r="L879" s="497" t="s">
        <v>358</v>
      </c>
      <c r="M879" s="497" t="s">
        <v>364</v>
      </c>
      <c r="N879" s="497" t="s">
        <v>358</v>
      </c>
      <c r="O879" s="497" t="s">
        <v>366</v>
      </c>
      <c r="P879" s="497" t="s">
        <v>286</v>
      </c>
      <c r="Q879" s="128"/>
    </row>
    <row r="880" spans="1:17" ht="13.5" thickBot="1">
      <c r="C880" s="500" t="s">
        <v>177</v>
      </c>
      <c r="D880" s="501" t="s">
        <v>178</v>
      </c>
      <c r="E880" s="500" t="s">
        <v>37</v>
      </c>
      <c r="F880" s="501" t="s">
        <v>178</v>
      </c>
      <c r="G880" s="501" t="s">
        <v>178</v>
      </c>
      <c r="H880" s="502" t="s">
        <v>298</v>
      </c>
      <c r="I880" s="503" t="s">
        <v>300</v>
      </c>
      <c r="J880" s="500" t="s">
        <v>389</v>
      </c>
      <c r="K880" s="504"/>
      <c r="L880" s="502" t="s">
        <v>287</v>
      </c>
      <c r="M880" s="502" t="s">
        <v>287</v>
      </c>
      <c r="N880" s="502" t="s">
        <v>467</v>
      </c>
      <c r="O880" s="502" t="s">
        <v>467</v>
      </c>
      <c r="P880" s="502" t="s">
        <v>467</v>
      </c>
      <c r="Q880" s="135"/>
    </row>
    <row r="881" spans="3:17">
      <c r="C881" s="505">
        <f>IF(D875= "","-",D875)</f>
        <v>2013</v>
      </c>
      <c r="D881" s="469">
        <f>+D874</f>
        <v>4474020.16</v>
      </c>
      <c r="E881" s="506">
        <f>+J878/12*(12-D876)</f>
        <v>26631.072380952377</v>
      </c>
      <c r="F881" s="548">
        <f t="shared" ref="F881:F940" si="80">+D881-E881</f>
        <v>4447389.0876190476</v>
      </c>
      <c r="G881" s="469">
        <f t="shared" ref="G881:G940" si="81">+(D881+F881)/2</f>
        <v>4460704.6238095239</v>
      </c>
      <c r="H881" s="507">
        <f>+J876*G881+E881</f>
        <v>695586.29366068472</v>
      </c>
      <c r="I881" s="508">
        <f>+J877*G881+E881</f>
        <v>695586.29366068472</v>
      </c>
      <c r="J881" s="509">
        <f t="shared" ref="J881:J940" si="82">+I881-H881</f>
        <v>0</v>
      </c>
      <c r="K881" s="509"/>
      <c r="L881" s="513">
        <v>9.9999999999999995E-7</v>
      </c>
      <c r="M881" s="549">
        <f t="shared" ref="M881:M940" si="83">IF(L881&lt;&gt;0,+H881-L881,0)</f>
        <v>695586.29365968471</v>
      </c>
      <c r="N881" s="513">
        <v>9.9999999999999995E-7</v>
      </c>
      <c r="O881" s="549">
        <f t="shared" ref="O881:O940" si="84">IF(N881&lt;&gt;0,+I881-N881,0)</f>
        <v>695586.29365968471</v>
      </c>
      <c r="P881" s="549">
        <f t="shared" ref="P881:P940" si="85">+O881-M881</f>
        <v>0</v>
      </c>
      <c r="Q881" s="471"/>
    </row>
    <row r="882" spans="3:17">
      <c r="C882" s="505">
        <f>IF(D875="","-",+C881+1)</f>
        <v>2014</v>
      </c>
      <c r="D882" s="469">
        <f t="shared" ref="D882:D940" si="86">F881</f>
        <v>4447389.0876190476</v>
      </c>
      <c r="E882" s="511">
        <f>IF(D882&gt;$J$878,$J$878,D882)</f>
        <v>106524.28952380952</v>
      </c>
      <c r="F882" s="511">
        <f t="shared" si="80"/>
        <v>4340864.7980952384</v>
      </c>
      <c r="G882" s="469">
        <f t="shared" si="81"/>
        <v>4394126.9428571425</v>
      </c>
      <c r="H882" s="506">
        <f>+J876*G882+E882</f>
        <v>765495.10451578465</v>
      </c>
      <c r="I882" s="512">
        <f>+J877*G882+E882</f>
        <v>765495.10451578465</v>
      </c>
      <c r="J882" s="509">
        <f t="shared" si="82"/>
        <v>0</v>
      </c>
      <c r="K882" s="509"/>
      <c r="L882" s="513">
        <v>95797</v>
      </c>
      <c r="M882" s="509">
        <f t="shared" si="83"/>
        <v>669698.10451578465</v>
      </c>
      <c r="N882" s="513">
        <v>95797</v>
      </c>
      <c r="O882" s="509">
        <f t="shared" si="84"/>
        <v>669698.10451578465</v>
      </c>
      <c r="P882" s="509">
        <f t="shared" si="85"/>
        <v>0</v>
      </c>
      <c r="Q882" s="471"/>
    </row>
    <row r="883" spans="3:17">
      <c r="C883" s="505">
        <f>IF(D875="","-",+C882+1)</f>
        <v>2015</v>
      </c>
      <c r="D883" s="469">
        <f t="shared" si="86"/>
        <v>4340864.7980952384</v>
      </c>
      <c r="E883" s="511">
        <f t="shared" ref="E883:E940" si="87">IF(D883&gt;$J$878,$J$878,D883)</f>
        <v>106524.28952380952</v>
      </c>
      <c r="F883" s="511">
        <f t="shared" si="80"/>
        <v>4234340.5085714292</v>
      </c>
      <c r="G883" s="469">
        <f t="shared" si="81"/>
        <v>4287602.6533333343</v>
      </c>
      <c r="H883" s="506">
        <f>+J876*G883+E883</f>
        <v>749520.05445537332</v>
      </c>
      <c r="I883" s="512">
        <f>+J877*G883+E883</f>
        <v>749520.05445537332</v>
      </c>
      <c r="J883" s="509">
        <f t="shared" si="82"/>
        <v>0</v>
      </c>
      <c r="K883" s="509"/>
      <c r="L883" s="513">
        <v>660744</v>
      </c>
      <c r="M883" s="509">
        <f t="shared" si="83"/>
        <v>88776.05445537332</v>
      </c>
      <c r="N883" s="513">
        <v>660744</v>
      </c>
      <c r="O883" s="509">
        <f t="shared" si="84"/>
        <v>88776.05445537332</v>
      </c>
      <c r="P883" s="509">
        <f t="shared" si="85"/>
        <v>0</v>
      </c>
      <c r="Q883" s="471"/>
    </row>
    <row r="884" spans="3:17">
      <c r="C884" s="505">
        <f>IF(D875="","-",+C883+1)</f>
        <v>2016</v>
      </c>
      <c r="D884" s="469">
        <f t="shared" si="86"/>
        <v>4234340.5085714292</v>
      </c>
      <c r="E884" s="511">
        <f t="shared" si="87"/>
        <v>106524.28952380952</v>
      </c>
      <c r="F884" s="511">
        <f t="shared" si="80"/>
        <v>4127816.2190476195</v>
      </c>
      <c r="G884" s="469">
        <f t="shared" si="81"/>
        <v>4181078.3638095241</v>
      </c>
      <c r="H884" s="506">
        <f>+J876*G884+E884</f>
        <v>733545.00439496164</v>
      </c>
      <c r="I884" s="512">
        <f>+J877*G884+E884</f>
        <v>733545.00439496164</v>
      </c>
      <c r="J884" s="509">
        <f t="shared" si="82"/>
        <v>0</v>
      </c>
      <c r="K884" s="509"/>
      <c r="L884" s="513">
        <v>821901</v>
      </c>
      <c r="M884" s="509">
        <f t="shared" si="83"/>
        <v>-88355.995605038363</v>
      </c>
      <c r="N884" s="513">
        <v>821901</v>
      </c>
      <c r="O884" s="509">
        <f t="shared" si="84"/>
        <v>-88355.995605038363</v>
      </c>
      <c r="P884" s="509">
        <f t="shared" si="85"/>
        <v>0</v>
      </c>
      <c r="Q884" s="471"/>
    </row>
    <row r="885" spans="3:17">
      <c r="C885" s="505">
        <f>IF(D875="","-",+C884+1)</f>
        <v>2017</v>
      </c>
      <c r="D885" s="469">
        <f t="shared" si="86"/>
        <v>4127816.2190476195</v>
      </c>
      <c r="E885" s="511">
        <f t="shared" si="87"/>
        <v>106524.28952380952</v>
      </c>
      <c r="F885" s="511">
        <f t="shared" si="80"/>
        <v>4021291.9295238098</v>
      </c>
      <c r="G885" s="469">
        <f t="shared" si="81"/>
        <v>4074554.0742857149</v>
      </c>
      <c r="H885" s="506">
        <f>+J876*G885+E885</f>
        <v>717569.95433455019</v>
      </c>
      <c r="I885" s="512">
        <f>+J877*G885+E885</f>
        <v>717569.95433455019</v>
      </c>
      <c r="J885" s="509">
        <f t="shared" si="82"/>
        <v>0</v>
      </c>
      <c r="K885" s="509"/>
      <c r="L885" s="513">
        <v>828442</v>
      </c>
      <c r="M885" s="509">
        <f t="shared" si="83"/>
        <v>-110872.04566544981</v>
      </c>
      <c r="N885" s="513">
        <v>828442</v>
      </c>
      <c r="O885" s="509">
        <f t="shared" si="84"/>
        <v>-110872.04566544981</v>
      </c>
      <c r="P885" s="509">
        <f t="shared" si="85"/>
        <v>0</v>
      </c>
      <c r="Q885" s="471"/>
    </row>
    <row r="886" spans="3:17">
      <c r="C886" s="505">
        <f>IF(D875="","-",+C885+1)</f>
        <v>2018</v>
      </c>
      <c r="D886" s="469">
        <f t="shared" si="86"/>
        <v>4021291.9295238098</v>
      </c>
      <c r="E886" s="511">
        <f t="shared" si="87"/>
        <v>106524.28952380952</v>
      </c>
      <c r="F886" s="511">
        <f t="shared" si="80"/>
        <v>3914767.64</v>
      </c>
      <c r="G886" s="469">
        <f t="shared" si="81"/>
        <v>3968029.7847619047</v>
      </c>
      <c r="H886" s="506">
        <f>+J876*G886+E886</f>
        <v>701594.90427413862</v>
      </c>
      <c r="I886" s="512">
        <f>+J877*G886+E886</f>
        <v>701594.90427413862</v>
      </c>
      <c r="J886" s="509">
        <f t="shared" si="82"/>
        <v>0</v>
      </c>
      <c r="K886" s="509"/>
      <c r="L886" s="513">
        <v>652807</v>
      </c>
      <c r="M886" s="509">
        <f t="shared" si="83"/>
        <v>48787.904274138622</v>
      </c>
      <c r="N886" s="513">
        <v>652807</v>
      </c>
      <c r="O886" s="509">
        <f t="shared" si="84"/>
        <v>48787.904274138622</v>
      </c>
      <c r="P886" s="509">
        <f t="shared" si="85"/>
        <v>0</v>
      </c>
      <c r="Q886" s="471"/>
    </row>
    <row r="887" spans="3:17">
      <c r="C887" s="505">
        <f>IF(D875="","-",+C886+1)</f>
        <v>2019</v>
      </c>
      <c r="D887" s="941">
        <f t="shared" si="86"/>
        <v>3914767.64</v>
      </c>
      <c r="E887" s="511">
        <f t="shared" si="87"/>
        <v>106524.28952380952</v>
      </c>
      <c r="F887" s="511">
        <f t="shared" si="80"/>
        <v>3808243.3504761904</v>
      </c>
      <c r="G887" s="469">
        <f t="shared" si="81"/>
        <v>3861505.4952380955</v>
      </c>
      <c r="H887" s="506">
        <f>+J876*G887+E887</f>
        <v>685619.85421372717</v>
      </c>
      <c r="I887" s="512">
        <f>+J877*G887+E887</f>
        <v>685619.85421372717</v>
      </c>
      <c r="J887" s="509">
        <f t="shared" si="82"/>
        <v>0</v>
      </c>
      <c r="K887" s="509"/>
      <c r="L887" s="513">
        <v>685825</v>
      </c>
      <c r="M887" s="509">
        <f t="shared" si="83"/>
        <v>-205.14578627282754</v>
      </c>
      <c r="N887" s="513">
        <v>685825</v>
      </c>
      <c r="O887" s="509">
        <f t="shared" si="84"/>
        <v>-205.14578627282754</v>
      </c>
      <c r="P887" s="509">
        <f t="shared" si="85"/>
        <v>0</v>
      </c>
      <c r="Q887" s="471"/>
    </row>
    <row r="888" spans="3:17">
      <c r="C888" s="505">
        <f>IF(D875="","-",+C887+1)</f>
        <v>2020</v>
      </c>
      <c r="D888" s="469">
        <f t="shared" si="86"/>
        <v>3808243.3504761904</v>
      </c>
      <c r="E888" s="511">
        <f t="shared" si="87"/>
        <v>106524.28952380952</v>
      </c>
      <c r="F888" s="511">
        <f t="shared" si="80"/>
        <v>3701719.0609523808</v>
      </c>
      <c r="G888" s="469">
        <f t="shared" si="81"/>
        <v>3754981.2057142854</v>
      </c>
      <c r="H888" s="506">
        <f>+J876*G888+E888</f>
        <v>669644.80415331549</v>
      </c>
      <c r="I888" s="512">
        <f>+J877*G888+E888</f>
        <v>669644.80415331549</v>
      </c>
      <c r="J888" s="509">
        <f t="shared" si="82"/>
        <v>0</v>
      </c>
      <c r="K888" s="509"/>
      <c r="L888" s="513">
        <v>660577.00957542553</v>
      </c>
      <c r="M888" s="509">
        <f t="shared" si="83"/>
        <v>9067.7945778899593</v>
      </c>
      <c r="N888" s="513">
        <v>660577.00957542553</v>
      </c>
      <c r="O888" s="509">
        <f t="shared" si="84"/>
        <v>9067.7945778899593</v>
      </c>
      <c r="P888" s="509">
        <f t="shared" si="85"/>
        <v>0</v>
      </c>
      <c r="Q888" s="471"/>
    </row>
    <row r="889" spans="3:17">
      <c r="C889" s="505">
        <f>IF(D875="","-",+C888+1)</f>
        <v>2021</v>
      </c>
      <c r="D889" s="469">
        <f t="shared" si="86"/>
        <v>3701719.0609523808</v>
      </c>
      <c r="E889" s="511">
        <f t="shared" si="87"/>
        <v>106524.28952380952</v>
      </c>
      <c r="F889" s="511">
        <f t="shared" si="80"/>
        <v>3595194.7714285711</v>
      </c>
      <c r="G889" s="469">
        <f t="shared" si="81"/>
        <v>3648456.9161904762</v>
      </c>
      <c r="H889" s="506">
        <f>+J876*G889+E889</f>
        <v>653669.75409290404</v>
      </c>
      <c r="I889" s="512">
        <f>+J877*G889+E889</f>
        <v>653669.75409290404</v>
      </c>
      <c r="J889" s="509">
        <f t="shared" si="82"/>
        <v>0</v>
      </c>
      <c r="K889" s="509"/>
      <c r="L889" s="513">
        <v>630068.6992672648</v>
      </c>
      <c r="M889" s="509">
        <f t="shared" si="83"/>
        <v>23601.054825639236</v>
      </c>
      <c r="N889" s="513">
        <v>630068.6992672648</v>
      </c>
      <c r="O889" s="509">
        <f t="shared" si="84"/>
        <v>23601.054825639236</v>
      </c>
      <c r="P889" s="509">
        <f t="shared" si="85"/>
        <v>0</v>
      </c>
      <c r="Q889" s="471"/>
    </row>
    <row r="890" spans="3:17">
      <c r="C890" s="963">
        <f>IF(D875="","-",+C889+1)</f>
        <v>2022</v>
      </c>
      <c r="D890" s="469">
        <f t="shared" si="86"/>
        <v>3595194.7714285711</v>
      </c>
      <c r="E890" s="511">
        <f t="shared" si="87"/>
        <v>106524.28952380952</v>
      </c>
      <c r="F890" s="511">
        <f t="shared" si="80"/>
        <v>3488670.4819047614</v>
      </c>
      <c r="G890" s="469">
        <f t="shared" si="81"/>
        <v>3541932.626666666</v>
      </c>
      <c r="H890" s="506">
        <f>+J876*G890+E890</f>
        <v>637694.70403249247</v>
      </c>
      <c r="I890" s="512">
        <f>+J877*G890+E890</f>
        <v>637694.70403249247</v>
      </c>
      <c r="J890" s="509">
        <f t="shared" si="82"/>
        <v>0</v>
      </c>
      <c r="K890" s="509"/>
      <c r="L890" s="513">
        <v>618033.50951625733</v>
      </c>
      <c r="M890" s="509">
        <f t="shared" si="83"/>
        <v>19661.194516235148</v>
      </c>
      <c r="N890" s="513">
        <v>618033.50951625733</v>
      </c>
      <c r="O890" s="509">
        <f t="shared" si="84"/>
        <v>19661.194516235148</v>
      </c>
      <c r="P890" s="509">
        <f t="shared" si="85"/>
        <v>0</v>
      </c>
      <c r="Q890" s="471"/>
    </row>
    <row r="891" spans="3:17">
      <c r="C891" s="505">
        <f>IF(D875="","-",+C890+1)</f>
        <v>2023</v>
      </c>
      <c r="D891" s="469">
        <f t="shared" si="86"/>
        <v>3488670.4819047614</v>
      </c>
      <c r="E891" s="511">
        <f t="shared" si="87"/>
        <v>106524.28952380952</v>
      </c>
      <c r="F891" s="511">
        <f t="shared" si="80"/>
        <v>3382146.1923809517</v>
      </c>
      <c r="G891" s="469">
        <f t="shared" si="81"/>
        <v>3435408.3371428568</v>
      </c>
      <c r="H891" s="506">
        <f>+J876*G891+E891</f>
        <v>621719.65397208091</v>
      </c>
      <c r="I891" s="512">
        <f>+J877*G891+E891</f>
        <v>621719.65397208091</v>
      </c>
      <c r="J891" s="509">
        <f t="shared" si="82"/>
        <v>0</v>
      </c>
      <c r="K891" s="509"/>
      <c r="L891" s="513">
        <v>626916.48114289576</v>
      </c>
      <c r="M891" s="509">
        <f t="shared" si="83"/>
        <v>-5196.8271708148532</v>
      </c>
      <c r="N891" s="513">
        <v>626916.48114289576</v>
      </c>
      <c r="O891" s="509">
        <f t="shared" si="84"/>
        <v>-5196.8271708148532</v>
      </c>
      <c r="P891" s="509">
        <f t="shared" si="85"/>
        <v>0</v>
      </c>
      <c r="Q891" s="471"/>
    </row>
    <row r="892" spans="3:17">
      <c r="C892" s="505">
        <f>IF(D875="","-",+C891+1)</f>
        <v>2024</v>
      </c>
      <c r="D892" s="469">
        <f t="shared" si="86"/>
        <v>3382146.1923809517</v>
      </c>
      <c r="E892" s="511">
        <f t="shared" si="87"/>
        <v>106524.28952380952</v>
      </c>
      <c r="F892" s="511">
        <f t="shared" si="80"/>
        <v>3275621.902857142</v>
      </c>
      <c r="G892" s="469">
        <f t="shared" si="81"/>
        <v>3328884.0476190466</v>
      </c>
      <c r="H892" s="506">
        <f>+J876*G892+E892</f>
        <v>605744.60391166934</v>
      </c>
      <c r="I892" s="512">
        <f>+J877*G892+E892</f>
        <v>605744.60391166934</v>
      </c>
      <c r="J892" s="509">
        <f t="shared" si="82"/>
        <v>0</v>
      </c>
      <c r="K892" s="509"/>
      <c r="L892" s="513">
        <v>608416.00278470467</v>
      </c>
      <c r="M892" s="509">
        <f t="shared" si="83"/>
        <v>-2671.3988730353303</v>
      </c>
      <c r="N892" s="513">
        <v>608416.00278470467</v>
      </c>
      <c r="O892" s="509">
        <f t="shared" si="84"/>
        <v>-2671.3988730353303</v>
      </c>
      <c r="P892" s="509">
        <f t="shared" si="85"/>
        <v>0</v>
      </c>
      <c r="Q892" s="471"/>
    </row>
    <row r="893" spans="3:17">
      <c r="C893" s="505">
        <f>IF(D875="","-",+C892+1)</f>
        <v>2025</v>
      </c>
      <c r="D893" s="469">
        <f t="shared" si="86"/>
        <v>3275621.902857142</v>
      </c>
      <c r="E893" s="511">
        <f t="shared" si="87"/>
        <v>106524.28952380952</v>
      </c>
      <c r="F893" s="511">
        <f t="shared" si="80"/>
        <v>3169097.6133333324</v>
      </c>
      <c r="G893" s="469">
        <f t="shared" si="81"/>
        <v>3222359.7580952374</v>
      </c>
      <c r="H893" s="506">
        <f>+J876*G893+E893</f>
        <v>589769.55385125789</v>
      </c>
      <c r="I893" s="512">
        <f>+J877*G893+E893</f>
        <v>589769.55385125789</v>
      </c>
      <c r="J893" s="509">
        <f t="shared" si="82"/>
        <v>0</v>
      </c>
      <c r="K893" s="509"/>
      <c r="L893" s="513">
        <v>574582.11232564016</v>
      </c>
      <c r="M893" s="509">
        <f t="shared" si="83"/>
        <v>15187.441525617731</v>
      </c>
      <c r="N893" s="513">
        <v>574582.11232564016</v>
      </c>
      <c r="O893" s="509">
        <f t="shared" si="84"/>
        <v>15187.441525617731</v>
      </c>
      <c r="P893" s="509">
        <f t="shared" si="85"/>
        <v>0</v>
      </c>
      <c r="Q893" s="471"/>
    </row>
    <row r="894" spans="3:17">
      <c r="C894" s="505">
        <f>IF(D875="","-",+C893+1)</f>
        <v>2026</v>
      </c>
      <c r="D894" s="469">
        <f t="shared" si="86"/>
        <v>3169097.6133333324</v>
      </c>
      <c r="E894" s="511">
        <f t="shared" si="87"/>
        <v>106524.28952380952</v>
      </c>
      <c r="F894" s="511">
        <f t="shared" si="80"/>
        <v>3062573.3238095227</v>
      </c>
      <c r="G894" s="469">
        <f t="shared" si="81"/>
        <v>3115835.4685714273</v>
      </c>
      <c r="H894" s="506">
        <f>+J876*G894+E894</f>
        <v>573794.50379084621</v>
      </c>
      <c r="I894" s="512">
        <f>+J877*G894+E894</f>
        <v>573794.50379084621</v>
      </c>
      <c r="J894" s="509">
        <f t="shared" si="82"/>
        <v>0</v>
      </c>
      <c r="K894" s="509"/>
      <c r="L894" s="513"/>
      <c r="M894" s="509">
        <f t="shared" si="83"/>
        <v>0</v>
      </c>
      <c r="N894" s="513"/>
      <c r="O894" s="509">
        <f t="shared" si="84"/>
        <v>0</v>
      </c>
      <c r="P894" s="509">
        <f t="shared" si="85"/>
        <v>0</v>
      </c>
      <c r="Q894" s="471"/>
    </row>
    <row r="895" spans="3:17">
      <c r="C895" s="505">
        <f>IF(D875="","-",+C894+1)</f>
        <v>2027</v>
      </c>
      <c r="D895" s="469">
        <f t="shared" si="86"/>
        <v>3062573.3238095227</v>
      </c>
      <c r="E895" s="511">
        <f t="shared" si="87"/>
        <v>106524.28952380952</v>
      </c>
      <c r="F895" s="511">
        <f t="shared" si="80"/>
        <v>2956049.034285713</v>
      </c>
      <c r="G895" s="469">
        <f t="shared" si="81"/>
        <v>3009311.1790476181</v>
      </c>
      <c r="H895" s="506">
        <f>+J876*G895+E895</f>
        <v>557819.45373043476</v>
      </c>
      <c r="I895" s="512">
        <f>+J877*G895+E895</f>
        <v>557819.45373043476</v>
      </c>
      <c r="J895" s="509">
        <f t="shared" si="82"/>
        <v>0</v>
      </c>
      <c r="K895" s="509"/>
      <c r="L895" s="513"/>
      <c r="M895" s="509">
        <f t="shared" si="83"/>
        <v>0</v>
      </c>
      <c r="N895" s="513"/>
      <c r="O895" s="509">
        <f t="shared" si="84"/>
        <v>0</v>
      </c>
      <c r="P895" s="509">
        <f t="shared" si="85"/>
        <v>0</v>
      </c>
      <c r="Q895" s="471"/>
    </row>
    <row r="896" spans="3:17">
      <c r="C896" s="505">
        <f>IF(D875="","-",+C895+1)</f>
        <v>2028</v>
      </c>
      <c r="D896" s="469">
        <f t="shared" si="86"/>
        <v>2956049.034285713</v>
      </c>
      <c r="E896" s="511">
        <f t="shared" si="87"/>
        <v>106524.28952380952</v>
      </c>
      <c r="F896" s="511">
        <f t="shared" si="80"/>
        <v>2849524.7447619033</v>
      </c>
      <c r="G896" s="469">
        <f t="shared" si="81"/>
        <v>2902786.8895238079</v>
      </c>
      <c r="H896" s="506">
        <f>+J876*G896+E896</f>
        <v>541844.4036700232</v>
      </c>
      <c r="I896" s="512">
        <f>+J877*G896+E896</f>
        <v>541844.4036700232</v>
      </c>
      <c r="J896" s="509">
        <f t="shared" si="82"/>
        <v>0</v>
      </c>
      <c r="K896" s="509"/>
      <c r="L896" s="513"/>
      <c r="M896" s="509">
        <f t="shared" si="83"/>
        <v>0</v>
      </c>
      <c r="N896" s="513"/>
      <c r="O896" s="509">
        <f t="shared" si="84"/>
        <v>0</v>
      </c>
      <c r="P896" s="509">
        <f t="shared" si="85"/>
        <v>0</v>
      </c>
      <c r="Q896" s="471"/>
    </row>
    <row r="897" spans="3:17">
      <c r="C897" s="505">
        <f>IF(D875="","-",+C896+1)</f>
        <v>2029</v>
      </c>
      <c r="D897" s="469">
        <f t="shared" si="86"/>
        <v>2849524.7447619033</v>
      </c>
      <c r="E897" s="511">
        <f t="shared" si="87"/>
        <v>106524.28952380952</v>
      </c>
      <c r="F897" s="511">
        <f t="shared" si="80"/>
        <v>2743000.4552380936</v>
      </c>
      <c r="G897" s="469">
        <f t="shared" si="81"/>
        <v>2796262.5999999987</v>
      </c>
      <c r="H897" s="506">
        <f>+J876*G897+E897</f>
        <v>525869.35360961163</v>
      </c>
      <c r="I897" s="512">
        <f>+J877*G897+E897</f>
        <v>525869.35360961163</v>
      </c>
      <c r="J897" s="509">
        <f t="shared" si="82"/>
        <v>0</v>
      </c>
      <c r="K897" s="509"/>
      <c r="L897" s="513"/>
      <c r="M897" s="509">
        <f t="shared" si="83"/>
        <v>0</v>
      </c>
      <c r="N897" s="513"/>
      <c r="O897" s="509">
        <f t="shared" si="84"/>
        <v>0</v>
      </c>
      <c r="P897" s="509">
        <f t="shared" si="85"/>
        <v>0</v>
      </c>
      <c r="Q897" s="471"/>
    </row>
    <row r="898" spans="3:17">
      <c r="C898" s="505">
        <f>IF(D875="","-",+C897+1)</f>
        <v>2030</v>
      </c>
      <c r="D898" s="469">
        <f t="shared" si="86"/>
        <v>2743000.4552380936</v>
      </c>
      <c r="E898" s="511">
        <f t="shared" si="87"/>
        <v>106524.28952380952</v>
      </c>
      <c r="F898" s="511">
        <f t="shared" si="80"/>
        <v>2636476.1657142839</v>
      </c>
      <c r="G898" s="469">
        <f t="shared" si="81"/>
        <v>2689738.3104761885</v>
      </c>
      <c r="H898" s="506">
        <f>+J876*G898+E898</f>
        <v>509894.30354920006</v>
      </c>
      <c r="I898" s="512">
        <f>+J877*G898+E898</f>
        <v>509894.30354920006</v>
      </c>
      <c r="J898" s="509">
        <f t="shared" si="82"/>
        <v>0</v>
      </c>
      <c r="K898" s="509"/>
      <c r="L898" s="513"/>
      <c r="M898" s="509">
        <f t="shared" si="83"/>
        <v>0</v>
      </c>
      <c r="N898" s="513"/>
      <c r="O898" s="509">
        <f t="shared" si="84"/>
        <v>0</v>
      </c>
      <c r="P898" s="509">
        <f t="shared" si="85"/>
        <v>0</v>
      </c>
      <c r="Q898" s="471"/>
    </row>
    <row r="899" spans="3:17">
      <c r="C899" s="505">
        <f>IF(D875="","-",+C898+1)</f>
        <v>2031</v>
      </c>
      <c r="D899" s="469">
        <f t="shared" si="86"/>
        <v>2636476.1657142839</v>
      </c>
      <c r="E899" s="511">
        <f t="shared" si="87"/>
        <v>106524.28952380952</v>
      </c>
      <c r="F899" s="511">
        <f t="shared" si="80"/>
        <v>2529951.8761904743</v>
      </c>
      <c r="G899" s="469">
        <f t="shared" si="81"/>
        <v>2583214.0209523793</v>
      </c>
      <c r="H899" s="506">
        <f>+J876*G899+E899</f>
        <v>493919.25348878856</v>
      </c>
      <c r="I899" s="512">
        <f>+J877*G899+E899</f>
        <v>493919.25348878856</v>
      </c>
      <c r="J899" s="509">
        <f t="shared" si="82"/>
        <v>0</v>
      </c>
      <c r="K899" s="509"/>
      <c r="L899" s="513"/>
      <c r="M899" s="509">
        <f t="shared" si="83"/>
        <v>0</v>
      </c>
      <c r="N899" s="513"/>
      <c r="O899" s="509">
        <f t="shared" si="84"/>
        <v>0</v>
      </c>
      <c r="P899" s="509">
        <f t="shared" si="85"/>
        <v>0</v>
      </c>
      <c r="Q899" s="471"/>
    </row>
    <row r="900" spans="3:17">
      <c r="C900" s="505">
        <f>IF(D875="","-",+C899+1)</f>
        <v>2032</v>
      </c>
      <c r="D900" s="469">
        <f t="shared" si="86"/>
        <v>2529951.8761904743</v>
      </c>
      <c r="E900" s="511">
        <f t="shared" si="87"/>
        <v>106524.28952380952</v>
      </c>
      <c r="F900" s="511">
        <f t="shared" si="80"/>
        <v>2423427.5866666646</v>
      </c>
      <c r="G900" s="469">
        <f t="shared" si="81"/>
        <v>2476689.7314285692</v>
      </c>
      <c r="H900" s="506">
        <f>+J876*G900+E900</f>
        <v>477944.20342837699</v>
      </c>
      <c r="I900" s="512">
        <f>+J877*G900+E900</f>
        <v>477944.20342837699</v>
      </c>
      <c r="J900" s="509">
        <f t="shared" si="82"/>
        <v>0</v>
      </c>
      <c r="K900" s="509"/>
      <c r="L900" s="513"/>
      <c r="M900" s="509">
        <f t="shared" si="83"/>
        <v>0</v>
      </c>
      <c r="N900" s="513"/>
      <c r="O900" s="509">
        <f t="shared" si="84"/>
        <v>0</v>
      </c>
      <c r="P900" s="509">
        <f t="shared" si="85"/>
        <v>0</v>
      </c>
      <c r="Q900" s="471"/>
    </row>
    <row r="901" spans="3:17">
      <c r="C901" s="505">
        <f>IF(D875="","-",+C900+1)</f>
        <v>2033</v>
      </c>
      <c r="D901" s="469">
        <f t="shared" si="86"/>
        <v>2423427.5866666646</v>
      </c>
      <c r="E901" s="511">
        <f t="shared" si="87"/>
        <v>106524.28952380952</v>
      </c>
      <c r="F901" s="511">
        <f t="shared" si="80"/>
        <v>2316903.2971428549</v>
      </c>
      <c r="G901" s="469">
        <f t="shared" si="81"/>
        <v>2370165.44190476</v>
      </c>
      <c r="H901" s="506">
        <f>+J876*G901+E901</f>
        <v>461969.15336796548</v>
      </c>
      <c r="I901" s="512">
        <f>+J877*G901+E901</f>
        <v>461969.15336796548</v>
      </c>
      <c r="J901" s="509">
        <f t="shared" si="82"/>
        <v>0</v>
      </c>
      <c r="K901" s="509"/>
      <c r="L901" s="513"/>
      <c r="M901" s="509">
        <f t="shared" si="83"/>
        <v>0</v>
      </c>
      <c r="N901" s="513"/>
      <c r="O901" s="509">
        <f t="shared" si="84"/>
        <v>0</v>
      </c>
      <c r="P901" s="509">
        <f t="shared" si="85"/>
        <v>0</v>
      </c>
      <c r="Q901" s="471"/>
    </row>
    <row r="902" spans="3:17">
      <c r="C902" s="505">
        <f>IF(D875="","-",+C901+1)</f>
        <v>2034</v>
      </c>
      <c r="D902" s="469">
        <f t="shared" si="86"/>
        <v>2316903.2971428549</v>
      </c>
      <c r="E902" s="511">
        <f t="shared" si="87"/>
        <v>106524.28952380952</v>
      </c>
      <c r="F902" s="511">
        <f t="shared" si="80"/>
        <v>2210379.0076190452</v>
      </c>
      <c r="G902" s="469">
        <f t="shared" si="81"/>
        <v>2263641.1523809498</v>
      </c>
      <c r="H902" s="506">
        <f>+J876*G902+E902</f>
        <v>445994.10330755386</v>
      </c>
      <c r="I902" s="512">
        <f>+J877*G902+E902</f>
        <v>445994.10330755386</v>
      </c>
      <c r="J902" s="509">
        <f t="shared" si="82"/>
        <v>0</v>
      </c>
      <c r="K902" s="509"/>
      <c r="L902" s="513"/>
      <c r="M902" s="509">
        <f t="shared" si="83"/>
        <v>0</v>
      </c>
      <c r="N902" s="513"/>
      <c r="O902" s="509">
        <f t="shared" si="84"/>
        <v>0</v>
      </c>
      <c r="P902" s="509">
        <f t="shared" si="85"/>
        <v>0</v>
      </c>
      <c r="Q902" s="471"/>
    </row>
    <row r="903" spans="3:17">
      <c r="C903" s="505">
        <f>IF(D875="","-",+C902+1)</f>
        <v>2035</v>
      </c>
      <c r="D903" s="469">
        <f t="shared" si="86"/>
        <v>2210379.0076190452</v>
      </c>
      <c r="E903" s="511">
        <f t="shared" si="87"/>
        <v>106524.28952380952</v>
      </c>
      <c r="F903" s="511">
        <f t="shared" si="80"/>
        <v>2103854.7180952355</v>
      </c>
      <c r="G903" s="469">
        <f t="shared" si="81"/>
        <v>2157116.8628571406</v>
      </c>
      <c r="H903" s="506">
        <f>+J876*G903+E903</f>
        <v>430019.05324714241</v>
      </c>
      <c r="I903" s="512">
        <f>+J877*G903+E903</f>
        <v>430019.05324714241</v>
      </c>
      <c r="J903" s="509">
        <f t="shared" si="82"/>
        <v>0</v>
      </c>
      <c r="K903" s="509"/>
      <c r="L903" s="513"/>
      <c r="M903" s="509">
        <f t="shared" si="83"/>
        <v>0</v>
      </c>
      <c r="N903" s="513"/>
      <c r="O903" s="509">
        <f t="shared" si="84"/>
        <v>0</v>
      </c>
      <c r="P903" s="509">
        <f t="shared" si="85"/>
        <v>0</v>
      </c>
      <c r="Q903" s="471"/>
    </row>
    <row r="904" spans="3:17">
      <c r="C904" s="505">
        <f>IF(D875="","-",+C903+1)</f>
        <v>2036</v>
      </c>
      <c r="D904" s="469">
        <f t="shared" si="86"/>
        <v>2103854.7180952355</v>
      </c>
      <c r="E904" s="511">
        <f t="shared" si="87"/>
        <v>106524.28952380952</v>
      </c>
      <c r="F904" s="511">
        <f t="shared" si="80"/>
        <v>1997330.4285714261</v>
      </c>
      <c r="G904" s="469">
        <f t="shared" si="81"/>
        <v>2050592.5733333309</v>
      </c>
      <c r="H904" s="506">
        <f>+J876*G904+E904</f>
        <v>414044.00318673084</v>
      </c>
      <c r="I904" s="512">
        <f>+J877*G904+E904</f>
        <v>414044.00318673084</v>
      </c>
      <c r="J904" s="509">
        <f t="shared" si="82"/>
        <v>0</v>
      </c>
      <c r="K904" s="509"/>
      <c r="L904" s="513"/>
      <c r="M904" s="509">
        <f t="shared" si="83"/>
        <v>0</v>
      </c>
      <c r="N904" s="513"/>
      <c r="O904" s="509">
        <f t="shared" si="84"/>
        <v>0</v>
      </c>
      <c r="P904" s="509">
        <f t="shared" si="85"/>
        <v>0</v>
      </c>
      <c r="Q904" s="471"/>
    </row>
    <row r="905" spans="3:17">
      <c r="C905" s="505">
        <f>IF(D875="","-",+C904+1)</f>
        <v>2037</v>
      </c>
      <c r="D905" s="469">
        <f t="shared" si="86"/>
        <v>1997330.4285714261</v>
      </c>
      <c r="E905" s="511">
        <f t="shared" si="87"/>
        <v>106524.28952380952</v>
      </c>
      <c r="F905" s="511">
        <f t="shared" si="80"/>
        <v>1890806.1390476166</v>
      </c>
      <c r="G905" s="469">
        <f t="shared" si="81"/>
        <v>1944068.2838095212</v>
      </c>
      <c r="H905" s="506">
        <f>+J876*G905+E905</f>
        <v>398068.95312631933</v>
      </c>
      <c r="I905" s="512">
        <f>+J877*G905+E905</f>
        <v>398068.95312631933</v>
      </c>
      <c r="J905" s="509">
        <f t="shared" si="82"/>
        <v>0</v>
      </c>
      <c r="K905" s="509"/>
      <c r="L905" s="513"/>
      <c r="M905" s="509">
        <f t="shared" si="83"/>
        <v>0</v>
      </c>
      <c r="N905" s="513"/>
      <c r="O905" s="509">
        <f t="shared" si="84"/>
        <v>0</v>
      </c>
      <c r="P905" s="509">
        <f t="shared" si="85"/>
        <v>0</v>
      </c>
      <c r="Q905" s="471"/>
    </row>
    <row r="906" spans="3:17">
      <c r="C906" s="505">
        <f>IF(D875="","-",+C905+1)</f>
        <v>2038</v>
      </c>
      <c r="D906" s="469">
        <f t="shared" si="86"/>
        <v>1890806.1390476166</v>
      </c>
      <c r="E906" s="511">
        <f t="shared" si="87"/>
        <v>106524.28952380952</v>
      </c>
      <c r="F906" s="511">
        <f t="shared" si="80"/>
        <v>1784281.8495238072</v>
      </c>
      <c r="G906" s="469">
        <f t="shared" si="81"/>
        <v>1837543.994285712</v>
      </c>
      <c r="H906" s="506">
        <f>+J876*G906+E906</f>
        <v>382093.90306590783</v>
      </c>
      <c r="I906" s="512">
        <f>+J877*G906+E906</f>
        <v>382093.90306590783</v>
      </c>
      <c r="J906" s="509">
        <f t="shared" si="82"/>
        <v>0</v>
      </c>
      <c r="K906" s="509"/>
      <c r="L906" s="513"/>
      <c r="M906" s="509">
        <f t="shared" si="83"/>
        <v>0</v>
      </c>
      <c r="N906" s="513"/>
      <c r="O906" s="509">
        <f t="shared" si="84"/>
        <v>0</v>
      </c>
      <c r="P906" s="509">
        <f t="shared" si="85"/>
        <v>0</v>
      </c>
      <c r="Q906" s="471"/>
    </row>
    <row r="907" spans="3:17">
      <c r="C907" s="505">
        <f>IF(D875="","-",+C906+1)</f>
        <v>2039</v>
      </c>
      <c r="D907" s="469">
        <f t="shared" si="86"/>
        <v>1784281.8495238072</v>
      </c>
      <c r="E907" s="511">
        <f t="shared" si="87"/>
        <v>106524.28952380952</v>
      </c>
      <c r="F907" s="511">
        <f t="shared" si="80"/>
        <v>1677757.5599999977</v>
      </c>
      <c r="G907" s="469">
        <f t="shared" si="81"/>
        <v>1731019.7047619023</v>
      </c>
      <c r="H907" s="506">
        <f>+J876*G907+E907</f>
        <v>366118.85300549632</v>
      </c>
      <c r="I907" s="512">
        <f>+J877*G907+E907</f>
        <v>366118.85300549632</v>
      </c>
      <c r="J907" s="509">
        <f t="shared" si="82"/>
        <v>0</v>
      </c>
      <c r="K907" s="509"/>
      <c r="L907" s="513"/>
      <c r="M907" s="509">
        <f t="shared" si="83"/>
        <v>0</v>
      </c>
      <c r="N907" s="513"/>
      <c r="O907" s="509">
        <f t="shared" si="84"/>
        <v>0</v>
      </c>
      <c r="P907" s="509">
        <f t="shared" si="85"/>
        <v>0</v>
      </c>
      <c r="Q907" s="471"/>
    </row>
    <row r="908" spans="3:17">
      <c r="C908" s="505">
        <f>IF(D875="","-",+C907+1)</f>
        <v>2040</v>
      </c>
      <c r="D908" s="469">
        <f t="shared" si="86"/>
        <v>1677757.5599999977</v>
      </c>
      <c r="E908" s="511">
        <f t="shared" si="87"/>
        <v>106524.28952380952</v>
      </c>
      <c r="F908" s="511">
        <f t="shared" si="80"/>
        <v>1571233.2704761883</v>
      </c>
      <c r="G908" s="469">
        <f t="shared" si="81"/>
        <v>1624495.4152380931</v>
      </c>
      <c r="H908" s="506">
        <f>+J876*G908+E908</f>
        <v>350143.80294508487</v>
      </c>
      <c r="I908" s="512">
        <f>+J877*G908+E908</f>
        <v>350143.80294508487</v>
      </c>
      <c r="J908" s="509">
        <f t="shared" si="82"/>
        <v>0</v>
      </c>
      <c r="K908" s="509"/>
      <c r="L908" s="513"/>
      <c r="M908" s="509">
        <f t="shared" si="83"/>
        <v>0</v>
      </c>
      <c r="N908" s="513"/>
      <c r="O908" s="509">
        <f t="shared" si="84"/>
        <v>0</v>
      </c>
      <c r="P908" s="509">
        <f t="shared" si="85"/>
        <v>0</v>
      </c>
      <c r="Q908" s="471"/>
    </row>
    <row r="909" spans="3:17">
      <c r="C909" s="505">
        <f>IF(D875="","-",+C908+1)</f>
        <v>2041</v>
      </c>
      <c r="D909" s="469">
        <f t="shared" si="86"/>
        <v>1571233.2704761883</v>
      </c>
      <c r="E909" s="511">
        <f t="shared" si="87"/>
        <v>106524.28952380952</v>
      </c>
      <c r="F909" s="511">
        <f t="shared" si="80"/>
        <v>1464708.9809523788</v>
      </c>
      <c r="G909" s="469">
        <f t="shared" si="81"/>
        <v>1517971.1257142834</v>
      </c>
      <c r="H909" s="506">
        <f>+J876*G909+E909</f>
        <v>334168.7528846733</v>
      </c>
      <c r="I909" s="512">
        <f>+J877*G909+E909</f>
        <v>334168.7528846733</v>
      </c>
      <c r="J909" s="509">
        <f t="shared" si="82"/>
        <v>0</v>
      </c>
      <c r="K909" s="509"/>
      <c r="L909" s="513"/>
      <c r="M909" s="509">
        <f t="shared" si="83"/>
        <v>0</v>
      </c>
      <c r="N909" s="513"/>
      <c r="O909" s="509">
        <f t="shared" si="84"/>
        <v>0</v>
      </c>
      <c r="P909" s="509">
        <f t="shared" si="85"/>
        <v>0</v>
      </c>
      <c r="Q909" s="471"/>
    </row>
    <row r="910" spans="3:17">
      <c r="C910" s="505">
        <f>IF(D875="","-",+C909+1)</f>
        <v>2042</v>
      </c>
      <c r="D910" s="469">
        <f t="shared" si="86"/>
        <v>1464708.9809523788</v>
      </c>
      <c r="E910" s="511">
        <f t="shared" si="87"/>
        <v>106524.28952380952</v>
      </c>
      <c r="F910" s="511">
        <f t="shared" si="80"/>
        <v>1358184.6914285694</v>
      </c>
      <c r="G910" s="469">
        <f t="shared" si="81"/>
        <v>1411446.8361904742</v>
      </c>
      <c r="H910" s="506">
        <f>+J876*G910+E910</f>
        <v>318193.70282426185</v>
      </c>
      <c r="I910" s="512">
        <f>+J877*G910+E910</f>
        <v>318193.70282426185</v>
      </c>
      <c r="J910" s="509">
        <f t="shared" si="82"/>
        <v>0</v>
      </c>
      <c r="K910" s="509"/>
      <c r="L910" s="513"/>
      <c r="M910" s="509">
        <f t="shared" si="83"/>
        <v>0</v>
      </c>
      <c r="N910" s="513"/>
      <c r="O910" s="509">
        <f t="shared" si="84"/>
        <v>0</v>
      </c>
      <c r="P910" s="509">
        <f t="shared" si="85"/>
        <v>0</v>
      </c>
      <c r="Q910" s="471"/>
    </row>
    <row r="911" spans="3:17">
      <c r="C911" s="505">
        <f>IF(D875="","-",+C910+1)</f>
        <v>2043</v>
      </c>
      <c r="D911" s="469">
        <f t="shared" si="86"/>
        <v>1358184.6914285694</v>
      </c>
      <c r="E911" s="511">
        <f t="shared" si="87"/>
        <v>106524.28952380952</v>
      </c>
      <c r="F911" s="511">
        <f t="shared" si="80"/>
        <v>1251660.4019047599</v>
      </c>
      <c r="G911" s="469">
        <f t="shared" si="81"/>
        <v>1304922.5466666645</v>
      </c>
      <c r="H911" s="506">
        <f>+J876*G911+E911</f>
        <v>302218.65276385029</v>
      </c>
      <c r="I911" s="512">
        <f>+J877*G911+E911</f>
        <v>302218.65276385029</v>
      </c>
      <c r="J911" s="509">
        <f t="shared" si="82"/>
        <v>0</v>
      </c>
      <c r="K911" s="509"/>
      <c r="L911" s="513"/>
      <c r="M911" s="509">
        <f t="shared" si="83"/>
        <v>0</v>
      </c>
      <c r="N911" s="513"/>
      <c r="O911" s="509">
        <f t="shared" si="84"/>
        <v>0</v>
      </c>
      <c r="P911" s="509">
        <f t="shared" si="85"/>
        <v>0</v>
      </c>
      <c r="Q911" s="471"/>
    </row>
    <row r="912" spans="3:17">
      <c r="C912" s="505">
        <f>IF(D875="","-",+C911+1)</f>
        <v>2044</v>
      </c>
      <c r="D912" s="469">
        <f t="shared" si="86"/>
        <v>1251660.4019047599</v>
      </c>
      <c r="E912" s="511">
        <f t="shared" si="87"/>
        <v>106524.28952380952</v>
      </c>
      <c r="F912" s="511">
        <f t="shared" si="80"/>
        <v>1145136.1123809505</v>
      </c>
      <c r="G912" s="469">
        <f t="shared" si="81"/>
        <v>1198398.2571428553</v>
      </c>
      <c r="H912" s="506">
        <f>+J876*G912+E912</f>
        <v>286243.60270343884</v>
      </c>
      <c r="I912" s="512">
        <f>+J877*G912+E912</f>
        <v>286243.60270343884</v>
      </c>
      <c r="J912" s="509">
        <f t="shared" si="82"/>
        <v>0</v>
      </c>
      <c r="K912" s="509"/>
      <c r="L912" s="513"/>
      <c r="M912" s="509">
        <f t="shared" si="83"/>
        <v>0</v>
      </c>
      <c r="N912" s="513"/>
      <c r="O912" s="509">
        <f t="shared" si="84"/>
        <v>0</v>
      </c>
      <c r="P912" s="509">
        <f t="shared" si="85"/>
        <v>0</v>
      </c>
      <c r="Q912" s="471"/>
    </row>
    <row r="913" spans="3:17">
      <c r="C913" s="505">
        <f>IF(D875="","-",+C912+1)</f>
        <v>2045</v>
      </c>
      <c r="D913" s="469">
        <f t="shared" si="86"/>
        <v>1145136.1123809505</v>
      </c>
      <c r="E913" s="511">
        <f t="shared" si="87"/>
        <v>106524.28952380952</v>
      </c>
      <c r="F913" s="511">
        <f t="shared" si="80"/>
        <v>1038611.8228571409</v>
      </c>
      <c r="G913" s="469">
        <f t="shared" si="81"/>
        <v>1091873.9676190456</v>
      </c>
      <c r="H913" s="506">
        <f>+J876*G913+E913</f>
        <v>270268.55264302727</v>
      </c>
      <c r="I913" s="512">
        <f>+J877*G913+E913</f>
        <v>270268.55264302727</v>
      </c>
      <c r="J913" s="509">
        <f t="shared" si="82"/>
        <v>0</v>
      </c>
      <c r="K913" s="509"/>
      <c r="L913" s="513"/>
      <c r="M913" s="509">
        <f t="shared" si="83"/>
        <v>0</v>
      </c>
      <c r="N913" s="513"/>
      <c r="O913" s="509">
        <f t="shared" si="84"/>
        <v>0</v>
      </c>
      <c r="P913" s="509">
        <f t="shared" si="85"/>
        <v>0</v>
      </c>
      <c r="Q913" s="471"/>
    </row>
    <row r="914" spans="3:17">
      <c r="C914" s="505">
        <f>IF(D875="","-",+C913+1)</f>
        <v>2046</v>
      </c>
      <c r="D914" s="469">
        <f t="shared" si="86"/>
        <v>1038611.8228571409</v>
      </c>
      <c r="E914" s="511">
        <f t="shared" si="87"/>
        <v>106524.28952380952</v>
      </c>
      <c r="F914" s="511">
        <f t="shared" si="80"/>
        <v>932087.53333333135</v>
      </c>
      <c r="G914" s="469">
        <f t="shared" si="81"/>
        <v>985349.67809523619</v>
      </c>
      <c r="H914" s="506">
        <f>+J876*G914+E914</f>
        <v>254293.50258261577</v>
      </c>
      <c r="I914" s="512">
        <f>+J877*G914+E914</f>
        <v>254293.50258261577</v>
      </c>
      <c r="J914" s="509">
        <f t="shared" si="82"/>
        <v>0</v>
      </c>
      <c r="K914" s="509"/>
      <c r="L914" s="513"/>
      <c r="M914" s="509">
        <f t="shared" si="83"/>
        <v>0</v>
      </c>
      <c r="N914" s="513"/>
      <c r="O914" s="509">
        <f t="shared" si="84"/>
        <v>0</v>
      </c>
      <c r="P914" s="509">
        <f t="shared" si="85"/>
        <v>0</v>
      </c>
      <c r="Q914" s="471"/>
    </row>
    <row r="915" spans="3:17">
      <c r="C915" s="505">
        <f>IF(D875="","-",+C914+1)</f>
        <v>2047</v>
      </c>
      <c r="D915" s="469">
        <f t="shared" si="86"/>
        <v>932087.53333333135</v>
      </c>
      <c r="E915" s="511">
        <f t="shared" si="87"/>
        <v>106524.28952380952</v>
      </c>
      <c r="F915" s="511">
        <f t="shared" si="80"/>
        <v>825563.24380952178</v>
      </c>
      <c r="G915" s="469">
        <f t="shared" si="81"/>
        <v>878825.38857142651</v>
      </c>
      <c r="H915" s="506">
        <f>+J876*G915+E915</f>
        <v>238318.45252220426</v>
      </c>
      <c r="I915" s="512">
        <f>+J877*G915+E915</f>
        <v>238318.45252220426</v>
      </c>
      <c r="J915" s="509">
        <f t="shared" si="82"/>
        <v>0</v>
      </c>
      <c r="K915" s="509"/>
      <c r="L915" s="513"/>
      <c r="M915" s="509">
        <f t="shared" si="83"/>
        <v>0</v>
      </c>
      <c r="N915" s="513"/>
      <c r="O915" s="509">
        <f t="shared" si="84"/>
        <v>0</v>
      </c>
      <c r="P915" s="509">
        <f t="shared" si="85"/>
        <v>0</v>
      </c>
      <c r="Q915" s="471"/>
    </row>
    <row r="916" spans="3:17">
      <c r="C916" s="505">
        <f>IF(D875="","-",+C915+1)</f>
        <v>2048</v>
      </c>
      <c r="D916" s="469">
        <f t="shared" si="86"/>
        <v>825563.24380952178</v>
      </c>
      <c r="E916" s="511">
        <f t="shared" si="87"/>
        <v>106524.28952380952</v>
      </c>
      <c r="F916" s="511">
        <f t="shared" si="80"/>
        <v>719038.95428571221</v>
      </c>
      <c r="G916" s="469">
        <f t="shared" si="81"/>
        <v>772301.09904761706</v>
      </c>
      <c r="H916" s="506">
        <f>+J876*G916+E916</f>
        <v>222343.40246179275</v>
      </c>
      <c r="I916" s="512">
        <f>+J877*G916+E916</f>
        <v>222343.40246179275</v>
      </c>
      <c r="J916" s="509">
        <f t="shared" si="82"/>
        <v>0</v>
      </c>
      <c r="K916" s="509"/>
      <c r="L916" s="513"/>
      <c r="M916" s="509">
        <f t="shared" si="83"/>
        <v>0</v>
      </c>
      <c r="N916" s="513"/>
      <c r="O916" s="509">
        <f t="shared" si="84"/>
        <v>0</v>
      </c>
      <c r="P916" s="509">
        <f t="shared" si="85"/>
        <v>0</v>
      </c>
      <c r="Q916" s="471"/>
    </row>
    <row r="917" spans="3:17">
      <c r="C917" s="505">
        <f>IF(D875="","-",+C916+1)</f>
        <v>2049</v>
      </c>
      <c r="D917" s="469">
        <f t="shared" si="86"/>
        <v>719038.95428571221</v>
      </c>
      <c r="E917" s="511">
        <f t="shared" si="87"/>
        <v>106524.28952380952</v>
      </c>
      <c r="F917" s="511">
        <f t="shared" si="80"/>
        <v>612514.66476190265</v>
      </c>
      <c r="G917" s="469">
        <f t="shared" si="81"/>
        <v>665776.80952380737</v>
      </c>
      <c r="H917" s="506">
        <f>+J876*G917+E917</f>
        <v>206368.35240138118</v>
      </c>
      <c r="I917" s="512">
        <f>+J877*G917+E917</f>
        <v>206368.35240138118</v>
      </c>
      <c r="J917" s="509">
        <f t="shared" si="82"/>
        <v>0</v>
      </c>
      <c r="K917" s="509"/>
      <c r="L917" s="513"/>
      <c r="M917" s="509">
        <f t="shared" si="83"/>
        <v>0</v>
      </c>
      <c r="N917" s="513"/>
      <c r="O917" s="509">
        <f t="shared" si="84"/>
        <v>0</v>
      </c>
      <c r="P917" s="509">
        <f t="shared" si="85"/>
        <v>0</v>
      </c>
      <c r="Q917" s="471"/>
    </row>
    <row r="918" spans="3:17">
      <c r="C918" s="505">
        <f>IF(D875="","-",+C917+1)</f>
        <v>2050</v>
      </c>
      <c r="D918" s="469">
        <f t="shared" si="86"/>
        <v>612514.66476190265</v>
      </c>
      <c r="E918" s="511">
        <f t="shared" si="87"/>
        <v>106524.28952380952</v>
      </c>
      <c r="F918" s="511">
        <f t="shared" si="80"/>
        <v>505990.37523809314</v>
      </c>
      <c r="G918" s="469">
        <f t="shared" si="81"/>
        <v>559252.51999999792</v>
      </c>
      <c r="H918" s="506">
        <f>+J876*G918+E918</f>
        <v>190393.30234096968</v>
      </c>
      <c r="I918" s="512">
        <f>+J877*G918+E918</f>
        <v>190393.30234096968</v>
      </c>
      <c r="J918" s="509">
        <f t="shared" si="82"/>
        <v>0</v>
      </c>
      <c r="K918" s="509"/>
      <c r="L918" s="513"/>
      <c r="M918" s="509">
        <f t="shared" si="83"/>
        <v>0</v>
      </c>
      <c r="N918" s="513"/>
      <c r="O918" s="509">
        <f t="shared" si="84"/>
        <v>0</v>
      </c>
      <c r="P918" s="509">
        <f t="shared" si="85"/>
        <v>0</v>
      </c>
      <c r="Q918" s="471"/>
    </row>
    <row r="919" spans="3:17">
      <c r="C919" s="505">
        <f>IF(D875="","-",+C918+1)</f>
        <v>2051</v>
      </c>
      <c r="D919" s="469">
        <f t="shared" si="86"/>
        <v>505990.37523809314</v>
      </c>
      <c r="E919" s="511">
        <f t="shared" si="87"/>
        <v>106524.28952380952</v>
      </c>
      <c r="F919" s="511">
        <f t="shared" si="80"/>
        <v>399466.08571428363</v>
      </c>
      <c r="G919" s="469">
        <f t="shared" si="81"/>
        <v>452728.23047618836</v>
      </c>
      <c r="H919" s="506">
        <f>+J876*G919+E919</f>
        <v>174418.25228055817</v>
      </c>
      <c r="I919" s="512">
        <f>+J877*G919+E919</f>
        <v>174418.25228055817</v>
      </c>
      <c r="J919" s="509">
        <f t="shared" si="82"/>
        <v>0</v>
      </c>
      <c r="K919" s="509"/>
      <c r="L919" s="513"/>
      <c r="M919" s="509">
        <f t="shared" si="83"/>
        <v>0</v>
      </c>
      <c r="N919" s="513"/>
      <c r="O919" s="509">
        <f t="shared" si="84"/>
        <v>0</v>
      </c>
      <c r="P919" s="509">
        <f t="shared" si="85"/>
        <v>0</v>
      </c>
      <c r="Q919" s="471"/>
    </row>
    <row r="920" spans="3:17">
      <c r="C920" s="505">
        <f>IF(D875="","-",+C919+1)</f>
        <v>2052</v>
      </c>
      <c r="D920" s="469">
        <f t="shared" si="86"/>
        <v>399466.08571428363</v>
      </c>
      <c r="E920" s="511">
        <f t="shared" si="87"/>
        <v>106524.28952380952</v>
      </c>
      <c r="F920" s="511">
        <f t="shared" si="80"/>
        <v>292941.79619047412</v>
      </c>
      <c r="G920" s="469">
        <f t="shared" si="81"/>
        <v>346203.94095237891</v>
      </c>
      <c r="H920" s="506">
        <f>+J876*G920+E920</f>
        <v>158443.20222014666</v>
      </c>
      <c r="I920" s="512">
        <f>+J877*G920+E920</f>
        <v>158443.20222014666</v>
      </c>
      <c r="J920" s="509">
        <f t="shared" si="82"/>
        <v>0</v>
      </c>
      <c r="K920" s="509"/>
      <c r="L920" s="513"/>
      <c r="M920" s="509">
        <f t="shared" si="83"/>
        <v>0</v>
      </c>
      <c r="N920" s="513"/>
      <c r="O920" s="509">
        <f t="shared" si="84"/>
        <v>0</v>
      </c>
      <c r="P920" s="509">
        <f t="shared" si="85"/>
        <v>0</v>
      </c>
      <c r="Q920" s="471"/>
    </row>
    <row r="921" spans="3:17">
      <c r="C921" s="505">
        <f>IF(D875="","-",+C920+1)</f>
        <v>2053</v>
      </c>
      <c r="D921" s="469">
        <f t="shared" si="86"/>
        <v>292941.79619047412</v>
      </c>
      <c r="E921" s="511">
        <f t="shared" si="87"/>
        <v>106524.28952380952</v>
      </c>
      <c r="F921" s="511">
        <f t="shared" si="80"/>
        <v>186417.50666666462</v>
      </c>
      <c r="G921" s="469">
        <f t="shared" si="81"/>
        <v>239679.65142856937</v>
      </c>
      <c r="H921" s="506">
        <f>+J876*G921+E921</f>
        <v>142468.15215973512</v>
      </c>
      <c r="I921" s="512">
        <f>+J877*G921+E921</f>
        <v>142468.15215973512</v>
      </c>
      <c r="J921" s="509">
        <f t="shared" si="82"/>
        <v>0</v>
      </c>
      <c r="K921" s="509"/>
      <c r="L921" s="513"/>
      <c r="M921" s="509">
        <f t="shared" si="83"/>
        <v>0</v>
      </c>
      <c r="N921" s="513"/>
      <c r="O921" s="509">
        <f t="shared" si="84"/>
        <v>0</v>
      </c>
      <c r="P921" s="509">
        <f t="shared" si="85"/>
        <v>0</v>
      </c>
      <c r="Q921" s="471"/>
    </row>
    <row r="922" spans="3:17">
      <c r="C922" s="505">
        <f>IF(D875="","-",+C921+1)</f>
        <v>2054</v>
      </c>
      <c r="D922" s="469">
        <f t="shared" si="86"/>
        <v>186417.50666666462</v>
      </c>
      <c r="E922" s="511">
        <f t="shared" si="87"/>
        <v>106524.28952380952</v>
      </c>
      <c r="F922" s="511">
        <f t="shared" si="80"/>
        <v>79893.217142855094</v>
      </c>
      <c r="G922" s="469">
        <f t="shared" si="81"/>
        <v>133155.36190475986</v>
      </c>
      <c r="H922" s="506">
        <f>+J876*G922+E922</f>
        <v>126493.10209932362</v>
      </c>
      <c r="I922" s="512">
        <f>+J877*G922+E922</f>
        <v>126493.10209932362</v>
      </c>
      <c r="J922" s="509">
        <f t="shared" si="82"/>
        <v>0</v>
      </c>
      <c r="K922" s="509"/>
      <c r="L922" s="513"/>
      <c r="M922" s="509">
        <f t="shared" si="83"/>
        <v>0</v>
      </c>
      <c r="N922" s="513"/>
      <c r="O922" s="509">
        <f t="shared" si="84"/>
        <v>0</v>
      </c>
      <c r="P922" s="509">
        <f t="shared" si="85"/>
        <v>0</v>
      </c>
      <c r="Q922" s="471"/>
    </row>
    <row r="923" spans="3:17">
      <c r="C923" s="505">
        <f>IF(D875="","-",+C922+1)</f>
        <v>2055</v>
      </c>
      <c r="D923" s="469">
        <f t="shared" si="86"/>
        <v>79893.217142855094</v>
      </c>
      <c r="E923" s="511">
        <f t="shared" si="87"/>
        <v>79893.217142855094</v>
      </c>
      <c r="F923" s="511">
        <f t="shared" si="80"/>
        <v>0</v>
      </c>
      <c r="G923" s="469">
        <f t="shared" si="81"/>
        <v>39946.608571427547</v>
      </c>
      <c r="H923" s="506">
        <f>+J876*G923+E923</f>
        <v>85883.860915509256</v>
      </c>
      <c r="I923" s="512">
        <f>+J877*G923+E923</f>
        <v>85883.860915509256</v>
      </c>
      <c r="J923" s="509">
        <f t="shared" si="82"/>
        <v>0</v>
      </c>
      <c r="K923" s="509"/>
      <c r="L923" s="513"/>
      <c r="M923" s="509">
        <f t="shared" si="83"/>
        <v>0</v>
      </c>
      <c r="N923" s="513"/>
      <c r="O923" s="509">
        <f t="shared" si="84"/>
        <v>0</v>
      </c>
      <c r="P923" s="509">
        <f t="shared" si="85"/>
        <v>0</v>
      </c>
      <c r="Q923" s="471"/>
    </row>
    <row r="924" spans="3:17">
      <c r="C924" s="505">
        <f>IF(D875="","-",+C923+1)</f>
        <v>2056</v>
      </c>
      <c r="D924" s="469">
        <f t="shared" si="86"/>
        <v>0</v>
      </c>
      <c r="E924" s="511">
        <f t="shared" si="87"/>
        <v>0</v>
      </c>
      <c r="F924" s="511">
        <f t="shared" si="80"/>
        <v>0</v>
      </c>
      <c r="G924" s="469">
        <f t="shared" si="81"/>
        <v>0</v>
      </c>
      <c r="H924" s="506">
        <f>+J876*G924+E924</f>
        <v>0</v>
      </c>
      <c r="I924" s="512">
        <f>+J877*G924+E924</f>
        <v>0</v>
      </c>
      <c r="J924" s="509">
        <f t="shared" si="82"/>
        <v>0</v>
      </c>
      <c r="K924" s="509"/>
      <c r="L924" s="513"/>
      <c r="M924" s="509">
        <f t="shared" si="83"/>
        <v>0</v>
      </c>
      <c r="N924" s="513"/>
      <c r="O924" s="509">
        <f t="shared" si="84"/>
        <v>0</v>
      </c>
      <c r="P924" s="509">
        <f t="shared" si="85"/>
        <v>0</v>
      </c>
      <c r="Q924" s="471"/>
    </row>
    <row r="925" spans="3:17">
      <c r="C925" s="505">
        <f>IF(D875="","-",+C924+1)</f>
        <v>2057</v>
      </c>
      <c r="D925" s="469">
        <f t="shared" si="86"/>
        <v>0</v>
      </c>
      <c r="E925" s="511">
        <f t="shared" si="87"/>
        <v>0</v>
      </c>
      <c r="F925" s="511">
        <f t="shared" si="80"/>
        <v>0</v>
      </c>
      <c r="G925" s="469">
        <f t="shared" si="81"/>
        <v>0</v>
      </c>
      <c r="H925" s="506">
        <f>+J876*G925+E925</f>
        <v>0</v>
      </c>
      <c r="I925" s="512">
        <f>+J877*G925+E925</f>
        <v>0</v>
      </c>
      <c r="J925" s="509">
        <f t="shared" si="82"/>
        <v>0</v>
      </c>
      <c r="K925" s="509"/>
      <c r="L925" s="513"/>
      <c r="M925" s="509">
        <f t="shared" si="83"/>
        <v>0</v>
      </c>
      <c r="N925" s="513"/>
      <c r="O925" s="509">
        <f t="shared" si="84"/>
        <v>0</v>
      </c>
      <c r="P925" s="509">
        <f t="shared" si="85"/>
        <v>0</v>
      </c>
      <c r="Q925" s="471"/>
    </row>
    <row r="926" spans="3:17">
      <c r="C926" s="505">
        <f>IF(D875="","-",+C925+1)</f>
        <v>2058</v>
      </c>
      <c r="D926" s="469">
        <f t="shared" si="86"/>
        <v>0</v>
      </c>
      <c r="E926" s="511">
        <f t="shared" si="87"/>
        <v>0</v>
      </c>
      <c r="F926" s="511">
        <f t="shared" si="80"/>
        <v>0</v>
      </c>
      <c r="G926" s="469">
        <f t="shared" si="81"/>
        <v>0</v>
      </c>
      <c r="H926" s="506">
        <f>+J876*G926+E926</f>
        <v>0</v>
      </c>
      <c r="I926" s="512">
        <f>+J877*G926+E926</f>
        <v>0</v>
      </c>
      <c r="J926" s="509">
        <f t="shared" si="82"/>
        <v>0</v>
      </c>
      <c r="K926" s="509"/>
      <c r="L926" s="513"/>
      <c r="M926" s="509">
        <f t="shared" si="83"/>
        <v>0</v>
      </c>
      <c r="N926" s="513"/>
      <c r="O926" s="509">
        <f t="shared" si="84"/>
        <v>0</v>
      </c>
      <c r="P926" s="509">
        <f t="shared" si="85"/>
        <v>0</v>
      </c>
      <c r="Q926" s="471"/>
    </row>
    <row r="927" spans="3:17">
      <c r="C927" s="505">
        <f>IF(D875="","-",+C926+1)</f>
        <v>2059</v>
      </c>
      <c r="D927" s="469">
        <f t="shared" si="86"/>
        <v>0</v>
      </c>
      <c r="E927" s="511">
        <f t="shared" si="87"/>
        <v>0</v>
      </c>
      <c r="F927" s="511">
        <f t="shared" si="80"/>
        <v>0</v>
      </c>
      <c r="G927" s="469">
        <f t="shared" si="81"/>
        <v>0</v>
      </c>
      <c r="H927" s="506">
        <f>+J876*G927+E927</f>
        <v>0</v>
      </c>
      <c r="I927" s="512">
        <f>+J877*G927+E927</f>
        <v>0</v>
      </c>
      <c r="J927" s="509">
        <f t="shared" si="82"/>
        <v>0</v>
      </c>
      <c r="K927" s="509"/>
      <c r="L927" s="513"/>
      <c r="M927" s="509">
        <f t="shared" si="83"/>
        <v>0</v>
      </c>
      <c r="N927" s="513"/>
      <c r="O927" s="509">
        <f t="shared" si="84"/>
        <v>0</v>
      </c>
      <c r="P927" s="509">
        <f t="shared" si="85"/>
        <v>0</v>
      </c>
      <c r="Q927" s="471"/>
    </row>
    <row r="928" spans="3:17">
      <c r="C928" s="505">
        <f>IF(D875="","-",+C927+1)</f>
        <v>2060</v>
      </c>
      <c r="D928" s="469">
        <f t="shared" si="86"/>
        <v>0</v>
      </c>
      <c r="E928" s="511">
        <f t="shared" si="87"/>
        <v>0</v>
      </c>
      <c r="F928" s="511">
        <f t="shared" si="80"/>
        <v>0</v>
      </c>
      <c r="G928" s="469">
        <f t="shared" si="81"/>
        <v>0</v>
      </c>
      <c r="H928" s="506">
        <f>+J876*G928+E928</f>
        <v>0</v>
      </c>
      <c r="I928" s="512">
        <f>+J877*G928+E928</f>
        <v>0</v>
      </c>
      <c r="J928" s="509">
        <f t="shared" si="82"/>
        <v>0</v>
      </c>
      <c r="K928" s="509"/>
      <c r="L928" s="513"/>
      <c r="M928" s="509">
        <f t="shared" si="83"/>
        <v>0</v>
      </c>
      <c r="N928" s="513"/>
      <c r="O928" s="509">
        <f t="shared" si="84"/>
        <v>0</v>
      </c>
      <c r="P928" s="509">
        <f t="shared" si="85"/>
        <v>0</v>
      </c>
      <c r="Q928" s="471"/>
    </row>
    <row r="929" spans="3:17">
      <c r="C929" s="505">
        <f>IF(D875="","-",+C928+1)</f>
        <v>2061</v>
      </c>
      <c r="D929" s="469">
        <f t="shared" si="86"/>
        <v>0</v>
      </c>
      <c r="E929" s="511">
        <f t="shared" si="87"/>
        <v>0</v>
      </c>
      <c r="F929" s="511">
        <f t="shared" si="80"/>
        <v>0</v>
      </c>
      <c r="G929" s="469">
        <f t="shared" si="81"/>
        <v>0</v>
      </c>
      <c r="H929" s="506">
        <f>+J876*G929+E929</f>
        <v>0</v>
      </c>
      <c r="I929" s="512">
        <f>+J877*G929+E929</f>
        <v>0</v>
      </c>
      <c r="J929" s="509">
        <f t="shared" si="82"/>
        <v>0</v>
      </c>
      <c r="K929" s="509"/>
      <c r="L929" s="513"/>
      <c r="M929" s="509">
        <f t="shared" si="83"/>
        <v>0</v>
      </c>
      <c r="N929" s="513"/>
      <c r="O929" s="509">
        <f t="shared" si="84"/>
        <v>0</v>
      </c>
      <c r="P929" s="509">
        <f t="shared" si="85"/>
        <v>0</v>
      </c>
      <c r="Q929" s="471"/>
    </row>
    <row r="930" spans="3:17">
      <c r="C930" s="505">
        <f>IF(D875="","-",+C929+1)</f>
        <v>2062</v>
      </c>
      <c r="D930" s="469">
        <f t="shared" si="86"/>
        <v>0</v>
      </c>
      <c r="E930" s="511">
        <f t="shared" si="87"/>
        <v>0</v>
      </c>
      <c r="F930" s="511">
        <f t="shared" si="80"/>
        <v>0</v>
      </c>
      <c r="G930" s="469">
        <f t="shared" si="81"/>
        <v>0</v>
      </c>
      <c r="H930" s="506">
        <f>+J876*G930+E930</f>
        <v>0</v>
      </c>
      <c r="I930" s="512">
        <f>+J877*G930+E930</f>
        <v>0</v>
      </c>
      <c r="J930" s="509">
        <f t="shared" si="82"/>
        <v>0</v>
      </c>
      <c r="K930" s="509"/>
      <c r="L930" s="513"/>
      <c r="M930" s="509">
        <f t="shared" si="83"/>
        <v>0</v>
      </c>
      <c r="N930" s="513"/>
      <c r="O930" s="509">
        <f t="shared" si="84"/>
        <v>0</v>
      </c>
      <c r="P930" s="509">
        <f t="shared" si="85"/>
        <v>0</v>
      </c>
      <c r="Q930" s="471"/>
    </row>
    <row r="931" spans="3:17">
      <c r="C931" s="505">
        <f>IF(D875="","-",+C930+1)</f>
        <v>2063</v>
      </c>
      <c r="D931" s="469">
        <f t="shared" si="86"/>
        <v>0</v>
      </c>
      <c r="E931" s="511">
        <f t="shared" si="87"/>
        <v>0</v>
      </c>
      <c r="F931" s="511">
        <f t="shared" si="80"/>
        <v>0</v>
      </c>
      <c r="G931" s="469">
        <f t="shared" si="81"/>
        <v>0</v>
      </c>
      <c r="H931" s="506">
        <f>+J876*G931+E931</f>
        <v>0</v>
      </c>
      <c r="I931" s="512">
        <f>+J877*G931+E931</f>
        <v>0</v>
      </c>
      <c r="J931" s="509">
        <f t="shared" si="82"/>
        <v>0</v>
      </c>
      <c r="K931" s="509"/>
      <c r="L931" s="513"/>
      <c r="M931" s="509">
        <f t="shared" si="83"/>
        <v>0</v>
      </c>
      <c r="N931" s="513"/>
      <c r="O931" s="509">
        <f t="shared" si="84"/>
        <v>0</v>
      </c>
      <c r="P931" s="509">
        <f t="shared" si="85"/>
        <v>0</v>
      </c>
      <c r="Q931" s="471"/>
    </row>
    <row r="932" spans="3:17">
      <c r="C932" s="505">
        <f>IF(D875="","-",+C931+1)</f>
        <v>2064</v>
      </c>
      <c r="D932" s="469">
        <f t="shared" si="86"/>
        <v>0</v>
      </c>
      <c r="E932" s="511">
        <f t="shared" si="87"/>
        <v>0</v>
      </c>
      <c r="F932" s="511">
        <f t="shared" si="80"/>
        <v>0</v>
      </c>
      <c r="G932" s="469">
        <f t="shared" si="81"/>
        <v>0</v>
      </c>
      <c r="H932" s="506">
        <f>+J876*G932+E932</f>
        <v>0</v>
      </c>
      <c r="I932" s="512">
        <f>+J877*G932+E932</f>
        <v>0</v>
      </c>
      <c r="J932" s="509">
        <f t="shared" si="82"/>
        <v>0</v>
      </c>
      <c r="K932" s="509"/>
      <c r="L932" s="513"/>
      <c r="M932" s="509">
        <f t="shared" si="83"/>
        <v>0</v>
      </c>
      <c r="N932" s="513"/>
      <c r="O932" s="509">
        <f t="shared" si="84"/>
        <v>0</v>
      </c>
      <c r="P932" s="509">
        <f t="shared" si="85"/>
        <v>0</v>
      </c>
      <c r="Q932" s="471"/>
    </row>
    <row r="933" spans="3:17">
      <c r="C933" s="505">
        <f>IF(D875="","-",+C932+1)</f>
        <v>2065</v>
      </c>
      <c r="D933" s="469">
        <f t="shared" si="86"/>
        <v>0</v>
      </c>
      <c r="E933" s="511">
        <f t="shared" si="87"/>
        <v>0</v>
      </c>
      <c r="F933" s="511">
        <f t="shared" si="80"/>
        <v>0</v>
      </c>
      <c r="G933" s="469">
        <f t="shared" si="81"/>
        <v>0</v>
      </c>
      <c r="H933" s="506">
        <f>+J876*G933+E933</f>
        <v>0</v>
      </c>
      <c r="I933" s="512">
        <f>+J877*G933+E933</f>
        <v>0</v>
      </c>
      <c r="J933" s="509">
        <f t="shared" si="82"/>
        <v>0</v>
      </c>
      <c r="K933" s="509"/>
      <c r="L933" s="513"/>
      <c r="M933" s="509">
        <f t="shared" si="83"/>
        <v>0</v>
      </c>
      <c r="N933" s="513"/>
      <c r="O933" s="509">
        <f t="shared" si="84"/>
        <v>0</v>
      </c>
      <c r="P933" s="509">
        <f t="shared" si="85"/>
        <v>0</v>
      </c>
      <c r="Q933" s="471"/>
    </row>
    <row r="934" spans="3:17">
      <c r="C934" s="505">
        <f>IF(D875="","-",+C933+1)</f>
        <v>2066</v>
      </c>
      <c r="D934" s="469">
        <f t="shared" si="86"/>
        <v>0</v>
      </c>
      <c r="E934" s="511">
        <f t="shared" si="87"/>
        <v>0</v>
      </c>
      <c r="F934" s="511">
        <f t="shared" si="80"/>
        <v>0</v>
      </c>
      <c r="G934" s="469">
        <f t="shared" si="81"/>
        <v>0</v>
      </c>
      <c r="H934" s="506">
        <f>+J876*G934+E934</f>
        <v>0</v>
      </c>
      <c r="I934" s="512">
        <f>+J877*G934+E934</f>
        <v>0</v>
      </c>
      <c r="J934" s="509">
        <f t="shared" si="82"/>
        <v>0</v>
      </c>
      <c r="K934" s="509"/>
      <c r="L934" s="513"/>
      <c r="M934" s="509">
        <f t="shared" si="83"/>
        <v>0</v>
      </c>
      <c r="N934" s="513"/>
      <c r="O934" s="509">
        <f t="shared" si="84"/>
        <v>0</v>
      </c>
      <c r="P934" s="509">
        <f t="shared" si="85"/>
        <v>0</v>
      </c>
      <c r="Q934" s="471"/>
    </row>
    <row r="935" spans="3:17">
      <c r="C935" s="505">
        <f>IF(D875="","-",+C934+1)</f>
        <v>2067</v>
      </c>
      <c r="D935" s="469">
        <f t="shared" si="86"/>
        <v>0</v>
      </c>
      <c r="E935" s="511">
        <f t="shared" si="87"/>
        <v>0</v>
      </c>
      <c r="F935" s="511">
        <f t="shared" si="80"/>
        <v>0</v>
      </c>
      <c r="G935" s="469">
        <f t="shared" si="81"/>
        <v>0</v>
      </c>
      <c r="H935" s="506">
        <f>+J876*G935+E935</f>
        <v>0</v>
      </c>
      <c r="I935" s="512">
        <f>+J877*G935+E935</f>
        <v>0</v>
      </c>
      <c r="J935" s="509">
        <f t="shared" si="82"/>
        <v>0</v>
      </c>
      <c r="K935" s="509"/>
      <c r="L935" s="513"/>
      <c r="M935" s="509">
        <f t="shared" si="83"/>
        <v>0</v>
      </c>
      <c r="N935" s="513"/>
      <c r="O935" s="509">
        <f t="shared" si="84"/>
        <v>0</v>
      </c>
      <c r="P935" s="509">
        <f t="shared" si="85"/>
        <v>0</v>
      </c>
      <c r="Q935" s="471"/>
    </row>
    <row r="936" spans="3:17">
      <c r="C936" s="505">
        <f>IF(D875="","-",+C935+1)</f>
        <v>2068</v>
      </c>
      <c r="D936" s="469">
        <f t="shared" si="86"/>
        <v>0</v>
      </c>
      <c r="E936" s="511">
        <f t="shared" si="87"/>
        <v>0</v>
      </c>
      <c r="F936" s="511">
        <f t="shared" si="80"/>
        <v>0</v>
      </c>
      <c r="G936" s="469">
        <f t="shared" si="81"/>
        <v>0</v>
      </c>
      <c r="H936" s="506">
        <f>+J876*G936+E936</f>
        <v>0</v>
      </c>
      <c r="I936" s="512">
        <f>+J877*G936+E936</f>
        <v>0</v>
      </c>
      <c r="J936" s="509">
        <f t="shared" si="82"/>
        <v>0</v>
      </c>
      <c r="K936" s="509"/>
      <c r="L936" s="513"/>
      <c r="M936" s="509">
        <f t="shared" si="83"/>
        <v>0</v>
      </c>
      <c r="N936" s="513"/>
      <c r="O936" s="509">
        <f t="shared" si="84"/>
        <v>0</v>
      </c>
      <c r="P936" s="509">
        <f t="shared" si="85"/>
        <v>0</v>
      </c>
      <c r="Q936" s="471"/>
    </row>
    <row r="937" spans="3:17">
      <c r="C937" s="505">
        <f>IF(D875="","-",+C936+1)</f>
        <v>2069</v>
      </c>
      <c r="D937" s="469">
        <f t="shared" si="86"/>
        <v>0</v>
      </c>
      <c r="E937" s="511">
        <f t="shared" si="87"/>
        <v>0</v>
      </c>
      <c r="F937" s="511">
        <f t="shared" si="80"/>
        <v>0</v>
      </c>
      <c r="G937" s="469">
        <f t="shared" si="81"/>
        <v>0</v>
      </c>
      <c r="H937" s="506">
        <f>+J876*G937+E937</f>
        <v>0</v>
      </c>
      <c r="I937" s="512">
        <f>+J877*G937+E937</f>
        <v>0</v>
      </c>
      <c r="J937" s="509">
        <f t="shared" si="82"/>
        <v>0</v>
      </c>
      <c r="K937" s="509"/>
      <c r="L937" s="513"/>
      <c r="M937" s="509">
        <f t="shared" si="83"/>
        <v>0</v>
      </c>
      <c r="N937" s="513"/>
      <c r="O937" s="509">
        <f t="shared" si="84"/>
        <v>0</v>
      </c>
      <c r="P937" s="509">
        <f t="shared" si="85"/>
        <v>0</v>
      </c>
      <c r="Q937" s="471"/>
    </row>
    <row r="938" spans="3:17">
      <c r="C938" s="505">
        <f>IF(D875="","-",+C937+1)</f>
        <v>2070</v>
      </c>
      <c r="D938" s="469">
        <f t="shared" si="86"/>
        <v>0</v>
      </c>
      <c r="E938" s="511">
        <f t="shared" si="87"/>
        <v>0</v>
      </c>
      <c r="F938" s="511">
        <f t="shared" si="80"/>
        <v>0</v>
      </c>
      <c r="G938" s="469">
        <f t="shared" si="81"/>
        <v>0</v>
      </c>
      <c r="H938" s="506">
        <f>+J876*G938+E938</f>
        <v>0</v>
      </c>
      <c r="I938" s="512">
        <f>+J877*G938+E938</f>
        <v>0</v>
      </c>
      <c r="J938" s="509">
        <f t="shared" si="82"/>
        <v>0</v>
      </c>
      <c r="K938" s="509"/>
      <c r="L938" s="513"/>
      <c r="M938" s="509">
        <f t="shared" si="83"/>
        <v>0</v>
      </c>
      <c r="N938" s="513"/>
      <c r="O938" s="509">
        <f t="shared" si="84"/>
        <v>0</v>
      </c>
      <c r="P938" s="509">
        <f t="shared" si="85"/>
        <v>0</v>
      </c>
      <c r="Q938" s="471"/>
    </row>
    <row r="939" spans="3:17">
      <c r="C939" s="505">
        <f>IF(D875="","-",+C938+1)</f>
        <v>2071</v>
      </c>
      <c r="D939" s="469">
        <f t="shared" si="86"/>
        <v>0</v>
      </c>
      <c r="E939" s="511">
        <f t="shared" si="87"/>
        <v>0</v>
      </c>
      <c r="F939" s="511">
        <f t="shared" si="80"/>
        <v>0</v>
      </c>
      <c r="G939" s="469">
        <f t="shared" si="81"/>
        <v>0</v>
      </c>
      <c r="H939" s="506">
        <f>+J876*G939+E939</f>
        <v>0</v>
      </c>
      <c r="I939" s="512">
        <f>+J877*G939+E939</f>
        <v>0</v>
      </c>
      <c r="J939" s="509">
        <f t="shared" si="82"/>
        <v>0</v>
      </c>
      <c r="K939" s="509"/>
      <c r="L939" s="513"/>
      <c r="M939" s="509">
        <f t="shared" si="83"/>
        <v>0</v>
      </c>
      <c r="N939" s="513"/>
      <c r="O939" s="509">
        <f t="shared" si="84"/>
        <v>0</v>
      </c>
      <c r="P939" s="509">
        <f t="shared" si="85"/>
        <v>0</v>
      </c>
      <c r="Q939" s="471"/>
    </row>
    <row r="940" spans="3:17" ht="13.5" thickBot="1">
      <c r="C940" s="515">
        <f>IF(D875="","-",+C939+1)</f>
        <v>2072</v>
      </c>
      <c r="D940" s="516">
        <f t="shared" si="86"/>
        <v>0</v>
      </c>
      <c r="E940" s="976">
        <f t="shared" si="87"/>
        <v>0</v>
      </c>
      <c r="F940" s="517">
        <f t="shared" si="80"/>
        <v>0</v>
      </c>
      <c r="G940" s="516">
        <f t="shared" si="81"/>
        <v>0</v>
      </c>
      <c r="H940" s="518">
        <f>+J876*G940+E940</f>
        <v>0</v>
      </c>
      <c r="I940" s="518">
        <f>+J877*G940+E940</f>
        <v>0</v>
      </c>
      <c r="J940" s="519">
        <f t="shared" si="82"/>
        <v>0</v>
      </c>
      <c r="K940" s="509"/>
      <c r="L940" s="520"/>
      <c r="M940" s="519">
        <f t="shared" si="83"/>
        <v>0</v>
      </c>
      <c r="N940" s="520"/>
      <c r="O940" s="519">
        <f t="shared" si="84"/>
        <v>0</v>
      </c>
      <c r="P940" s="519">
        <f t="shared" si="85"/>
        <v>0</v>
      </c>
      <c r="Q940" s="471"/>
    </row>
    <row r="941" spans="3:17">
      <c r="C941" s="469" t="s">
        <v>288</v>
      </c>
      <c r="D941" s="467"/>
      <c r="E941" s="467">
        <f>SUM(E881:E940)</f>
        <v>4474020.16</v>
      </c>
      <c r="F941" s="467"/>
      <c r="G941" s="467"/>
      <c r="H941" s="467">
        <f>SUM(H881:H940)</f>
        <v>19067228.390185907</v>
      </c>
      <c r="I941" s="467">
        <f>SUM(I881:I940)</f>
        <v>19067228.390185907</v>
      </c>
      <c r="J941" s="467">
        <f>SUM(J881:J940)</f>
        <v>0</v>
      </c>
      <c r="K941" s="467"/>
      <c r="L941" s="467"/>
      <c r="M941" s="467"/>
      <c r="N941" s="467"/>
      <c r="O941" s="467"/>
      <c r="Q941" s="467"/>
    </row>
    <row r="942" spans="3:17">
      <c r="D942" s="79"/>
      <c r="E942" s="4"/>
      <c r="F942" s="4"/>
      <c r="G942" s="4"/>
      <c r="H942" s="4"/>
      <c r="I942" s="452"/>
      <c r="J942" s="452"/>
      <c r="K942" s="467"/>
      <c r="L942" s="452"/>
      <c r="M942" s="452"/>
      <c r="N942" s="452"/>
      <c r="O942" s="452"/>
      <c r="Q942" s="467"/>
    </row>
    <row r="943" spans="3:17">
      <c r="C943" s="4" t="s">
        <v>595</v>
      </c>
      <c r="D943" s="79"/>
      <c r="E943" s="4"/>
      <c r="F943" s="4"/>
      <c r="G943" s="4"/>
      <c r="H943" s="4"/>
      <c r="I943" s="452"/>
      <c r="J943" s="452"/>
      <c r="K943" s="467"/>
      <c r="L943" s="452"/>
      <c r="M943" s="452"/>
      <c r="N943" s="452"/>
      <c r="O943" s="452"/>
      <c r="Q943" s="467"/>
    </row>
    <row r="944" spans="3:17">
      <c r="D944" s="79"/>
      <c r="E944" s="4"/>
      <c r="F944" s="4"/>
      <c r="G944" s="4"/>
      <c r="H944" s="4"/>
      <c r="I944" s="452"/>
      <c r="J944" s="452"/>
      <c r="K944" s="467"/>
      <c r="L944" s="452"/>
      <c r="M944" s="452"/>
      <c r="N944" s="452"/>
      <c r="O944" s="452"/>
      <c r="Q944" s="467"/>
    </row>
    <row r="945" spans="1:17">
      <c r="C945" s="4" t="s">
        <v>596</v>
      </c>
      <c r="D945" s="469"/>
      <c r="E945" s="469"/>
      <c r="F945" s="469"/>
      <c r="G945" s="469"/>
      <c r="H945" s="467"/>
      <c r="I945" s="467"/>
      <c r="J945" s="471"/>
      <c r="K945" s="471"/>
      <c r="L945" s="471"/>
      <c r="M945" s="471"/>
      <c r="N945" s="471"/>
      <c r="O945" s="471"/>
      <c r="Q945" s="471"/>
    </row>
    <row r="946" spans="1:17">
      <c r="C946" s="4" t="s">
        <v>476</v>
      </c>
      <c r="D946" s="469"/>
      <c r="E946" s="469"/>
      <c r="F946" s="469"/>
      <c r="G946" s="469"/>
      <c r="H946" s="467"/>
      <c r="I946" s="467"/>
      <c r="J946" s="471"/>
      <c r="K946" s="471"/>
      <c r="L946" s="471"/>
      <c r="M946" s="471"/>
      <c r="N946" s="471"/>
      <c r="O946" s="471"/>
      <c r="Q946" s="471"/>
    </row>
    <row r="947" spans="1:17">
      <c r="C947" s="4" t="s">
        <v>289</v>
      </c>
      <c r="D947" s="469"/>
      <c r="E947" s="469"/>
      <c r="F947" s="469"/>
      <c r="G947" s="469"/>
      <c r="H947" s="467"/>
      <c r="I947" s="467"/>
      <c r="J947" s="471"/>
      <c r="K947" s="471"/>
      <c r="L947" s="471"/>
      <c r="M947" s="471"/>
      <c r="N947" s="471"/>
      <c r="O947" s="471"/>
      <c r="Q947" s="471"/>
    </row>
    <row r="948" spans="1:17" ht="20.25">
      <c r="A948" s="411" t="s">
        <v>762</v>
      </c>
      <c r="B948" s="4"/>
      <c r="C948" s="4"/>
      <c r="D948" s="79"/>
      <c r="E948" s="4"/>
      <c r="F948" s="81"/>
      <c r="G948" s="81"/>
      <c r="H948" s="4"/>
      <c r="I948" s="452"/>
      <c r="L948" s="11"/>
      <c r="M948" s="11"/>
      <c r="N948" s="11"/>
      <c r="O948" s="11" t="str">
        <f>"Page "&amp;SUM(Q$3:Q948)&amp;" of "</f>
        <v xml:space="preserve">Page 12 of </v>
      </c>
      <c r="P948" s="412">
        <f>COUNT(Q$8:Q$58212)</f>
        <v>23</v>
      </c>
      <c r="Q948" s="539">
        <v>1</v>
      </c>
    </row>
    <row r="949" spans="1:17">
      <c r="B949" s="4"/>
      <c r="C949" s="4"/>
      <c r="D949" s="79"/>
      <c r="E949" s="4"/>
      <c r="F949" s="4"/>
      <c r="G949" s="4"/>
      <c r="H949" s="4"/>
      <c r="I949" s="452"/>
      <c r="J949" s="4"/>
      <c r="K949" s="4"/>
    </row>
    <row r="950" spans="1:17" ht="18">
      <c r="B950" s="413" t="s">
        <v>174</v>
      </c>
      <c r="C950" s="472" t="s">
        <v>290</v>
      </c>
      <c r="D950" s="79"/>
      <c r="E950" s="4"/>
      <c r="F950" s="4"/>
      <c r="G950" s="4"/>
      <c r="H950" s="4"/>
      <c r="I950" s="452"/>
      <c r="J950" s="452"/>
      <c r="K950" s="467"/>
      <c r="L950" s="452"/>
      <c r="M950" s="452"/>
      <c r="N950" s="452"/>
      <c r="O950" s="452"/>
      <c r="Q950" s="467"/>
    </row>
    <row r="951" spans="1:17" ht="18.75">
      <c r="B951" s="413"/>
      <c r="C951" s="13"/>
      <c r="D951" s="79"/>
      <c r="E951" s="4"/>
      <c r="F951" s="4"/>
      <c r="G951" s="4"/>
      <c r="H951" s="4"/>
      <c r="I951" s="452"/>
      <c r="J951" s="452"/>
      <c r="K951" s="467"/>
      <c r="L951" s="452"/>
      <c r="M951" s="452"/>
      <c r="N951" s="452"/>
      <c r="O951" s="452"/>
      <c r="Q951" s="467"/>
    </row>
    <row r="952" spans="1:17" ht="18.75">
      <c r="B952" s="413"/>
      <c r="C952" s="13" t="s">
        <v>291</v>
      </c>
      <c r="D952" s="79"/>
      <c r="E952" s="4"/>
      <c r="F952" s="4"/>
      <c r="G952" s="4"/>
      <c r="H952" s="4"/>
      <c r="I952" s="452"/>
      <c r="J952" s="452"/>
      <c r="K952" s="467"/>
      <c r="L952" s="452"/>
      <c r="M952" s="452"/>
      <c r="N952" s="452"/>
      <c r="O952" s="452"/>
      <c r="Q952" s="467"/>
    </row>
    <row r="953" spans="1:17" ht="15.75" thickBot="1">
      <c r="C953" s="247"/>
      <c r="D953" s="79"/>
      <c r="E953" s="4"/>
      <c r="F953" s="4"/>
      <c r="G953" s="4"/>
      <c r="H953" s="4"/>
      <c r="I953" s="452"/>
      <c r="J953" s="452"/>
      <c r="K953" s="467"/>
      <c r="L953" s="452"/>
      <c r="M953" s="452"/>
      <c r="N953" s="452"/>
      <c r="O953" s="452"/>
      <c r="Q953" s="467"/>
    </row>
    <row r="954" spans="1:17" ht="15.75">
      <c r="C954" s="414" t="s">
        <v>292</v>
      </c>
      <c r="D954" s="79"/>
      <c r="E954" s="4"/>
      <c r="F954" s="4"/>
      <c r="G954" s="4"/>
      <c r="H954" s="635"/>
      <c r="I954" s="4" t="s">
        <v>271</v>
      </c>
      <c r="J954" s="4"/>
      <c r="K954" s="4"/>
      <c r="L954" s="540">
        <f>+J960</f>
        <v>2025</v>
      </c>
      <c r="M954" s="524" t="s">
        <v>254</v>
      </c>
      <c r="N954" s="524" t="s">
        <v>255</v>
      </c>
      <c r="O954" s="525" t="s">
        <v>256</v>
      </c>
    </row>
    <row r="955" spans="1:17" ht="15.75">
      <c r="C955" s="414"/>
      <c r="D955" s="79"/>
      <c r="E955" s="4"/>
      <c r="F955" s="4"/>
      <c r="H955" s="4"/>
      <c r="I955" s="476"/>
      <c r="J955" s="476"/>
      <c r="K955" s="477"/>
      <c r="L955" s="541" t="s">
        <v>455</v>
      </c>
      <c r="M955" s="542">
        <f>VLOOKUP(J960,C967:P1026,10)</f>
        <v>0</v>
      </c>
      <c r="N955" s="542">
        <f>VLOOKUP(J960,C967:P1026,12)</f>
        <v>0</v>
      </c>
      <c r="O955" s="543">
        <f>+N955-M955</f>
        <v>0</v>
      </c>
      <c r="Q955" s="477"/>
    </row>
    <row r="956" spans="1:17">
      <c r="C956" s="479" t="s">
        <v>293</v>
      </c>
      <c r="D956" s="1276" t="s">
        <v>934</v>
      </c>
      <c r="E956" s="1276"/>
      <c r="F956" s="1276"/>
      <c r="G956" s="1276"/>
      <c r="H956" s="1276"/>
      <c r="I956" s="1276"/>
      <c r="J956" s="452"/>
      <c r="K956" s="467"/>
      <c r="L956" s="541" t="s">
        <v>456</v>
      </c>
      <c r="M956" s="544">
        <f>VLOOKUP(J960,C967:P1026,6)</f>
        <v>0</v>
      </c>
      <c r="N956" s="544">
        <f>VLOOKUP(J960,C967:P1026,7)</f>
        <v>0</v>
      </c>
      <c r="O956" s="545">
        <f>+N956-M956</f>
        <v>0</v>
      </c>
      <c r="Q956" s="467"/>
    </row>
    <row r="957" spans="1:17" ht="13.5" thickBot="1">
      <c r="C957" s="481"/>
      <c r="D957" s="1276" t="s">
        <v>114</v>
      </c>
      <c r="E957" s="1276"/>
      <c r="F957" s="1276"/>
      <c r="G957" s="1276"/>
      <c r="H957" s="1276"/>
      <c r="I957" s="1276"/>
      <c r="J957" s="452"/>
      <c r="K957" s="467"/>
      <c r="L957" s="492" t="s">
        <v>457</v>
      </c>
      <c r="M957" s="546">
        <f>+M956-M955</f>
        <v>0</v>
      </c>
      <c r="N957" s="546">
        <f>+N956-N955</f>
        <v>0</v>
      </c>
      <c r="O957" s="547">
        <f>+O956-O955</f>
        <v>0</v>
      </c>
      <c r="Q957" s="467"/>
    </row>
    <row r="958" spans="1:17" ht="13.5" thickBot="1">
      <c r="C958" s="481"/>
      <c r="D958" s="4"/>
      <c r="E958" s="483"/>
      <c r="F958" s="483"/>
      <c r="G958" s="483"/>
      <c r="H958" s="483"/>
      <c r="I958" s="483"/>
      <c r="J958" s="483"/>
      <c r="K958" s="483"/>
      <c r="L958" s="483"/>
      <c r="M958" s="483"/>
      <c r="N958" s="483"/>
      <c r="O958" s="483"/>
      <c r="Q958" s="483"/>
    </row>
    <row r="959" spans="1:17" ht="13.5" thickBot="1">
      <c r="C959" s="484" t="s">
        <v>294</v>
      </c>
      <c r="D959" s="485"/>
      <c r="E959" s="485"/>
      <c r="F959" s="485"/>
      <c r="G959" s="485"/>
      <c r="H959" s="485"/>
      <c r="I959" s="485"/>
      <c r="J959" s="485"/>
      <c r="Q959"/>
    </row>
    <row r="960" spans="1:17" ht="15">
      <c r="A960" s="977"/>
      <c r="C960" s="487" t="s">
        <v>272</v>
      </c>
      <c r="D960" s="926">
        <v>0</v>
      </c>
      <c r="E960" s="4" t="s">
        <v>273</v>
      </c>
      <c r="H960" s="79"/>
      <c r="I960" s="79"/>
      <c r="J960" s="488">
        <f>$J$95</f>
        <v>2025</v>
      </c>
      <c r="K960" s="135"/>
      <c r="L960" s="1287" t="s">
        <v>274</v>
      </c>
      <c r="M960" s="1287"/>
      <c r="N960" s="1287"/>
      <c r="O960" s="1287"/>
      <c r="Q960" s="135"/>
    </row>
    <row r="961" spans="1:17">
      <c r="A961" s="977"/>
      <c r="C961" s="487" t="s">
        <v>275</v>
      </c>
      <c r="D961" s="636">
        <v>2014</v>
      </c>
      <c r="E961" s="487" t="s">
        <v>276</v>
      </c>
      <c r="F961" s="79"/>
      <c r="G961" s="79"/>
      <c r="I961"/>
      <c r="J961" s="638">
        <v>0</v>
      </c>
      <c r="K961" s="489"/>
      <c r="L961" s="467" t="s">
        <v>475</v>
      </c>
      <c r="Q961" s="489"/>
    </row>
    <row r="962" spans="1:17">
      <c r="A962" s="977"/>
      <c r="C962" s="487" t="s">
        <v>277</v>
      </c>
      <c r="D962" s="926">
        <v>12</v>
      </c>
      <c r="E962" s="487" t="s">
        <v>278</v>
      </c>
      <c r="F962" s="79"/>
      <c r="G962" s="79"/>
      <c r="I962"/>
      <c r="J962" s="490">
        <f>$F$70</f>
        <v>0.14996626714737105</v>
      </c>
      <c r="K962" s="81"/>
      <c r="L962" s="4" t="str">
        <f>"          INPUT TRUE-UP ARR (WITH &amp; WITHOUT INCENTIVES) FROM EACH PRIOR YEAR"</f>
        <v xml:space="preserve">          INPUT TRUE-UP ARR (WITH &amp; WITHOUT INCENTIVES) FROM EACH PRIOR YEAR</v>
      </c>
      <c r="Q962" s="81"/>
    </row>
    <row r="963" spans="1:17">
      <c r="A963" s="977"/>
      <c r="C963" s="487" t="s">
        <v>279</v>
      </c>
      <c r="D963" s="491">
        <f>H79</f>
        <v>42</v>
      </c>
      <c r="E963" s="487" t="s">
        <v>280</v>
      </c>
      <c r="F963" s="79"/>
      <c r="G963" s="79"/>
      <c r="I963"/>
      <c r="J963" s="490">
        <f>IF(H954="",J962,$F$69)</f>
        <v>0.14996626714737105</v>
      </c>
      <c r="K963" s="81"/>
      <c r="L963" s="4" t="s">
        <v>362</v>
      </c>
      <c r="M963" s="81"/>
      <c r="N963" s="81"/>
      <c r="O963" s="81"/>
      <c r="Q963" s="81"/>
    </row>
    <row r="964" spans="1:17" ht="13.5" thickBot="1">
      <c r="A964" s="977"/>
      <c r="C964" s="487" t="s">
        <v>281</v>
      </c>
      <c r="D964" s="637" t="s">
        <v>923</v>
      </c>
      <c r="E964" s="492" t="s">
        <v>282</v>
      </c>
      <c r="F964" s="493"/>
      <c r="G964" s="493"/>
      <c r="H964" s="494"/>
      <c r="I964" s="494"/>
      <c r="J964" s="480">
        <f>IF(D960=0,0,D960/D963)</f>
        <v>0</v>
      </c>
      <c r="K964" s="467"/>
      <c r="L964" s="467" t="s">
        <v>363</v>
      </c>
      <c r="M964" s="467"/>
      <c r="N964" s="467"/>
      <c r="O964" s="467"/>
      <c r="Q964" s="467"/>
    </row>
    <row r="965" spans="1:17" ht="38.25">
      <c r="A965" s="12"/>
      <c r="B965" s="12"/>
      <c r="C965" s="495" t="s">
        <v>272</v>
      </c>
      <c r="D965" s="496" t="s">
        <v>283</v>
      </c>
      <c r="E965" s="497" t="s">
        <v>284</v>
      </c>
      <c r="F965" s="496" t="s">
        <v>285</v>
      </c>
      <c r="G965" s="496" t="s">
        <v>458</v>
      </c>
      <c r="H965" s="497" t="s">
        <v>356</v>
      </c>
      <c r="I965" s="498" t="s">
        <v>356</v>
      </c>
      <c r="J965" s="495" t="s">
        <v>295</v>
      </c>
      <c r="K965" s="499"/>
      <c r="L965" s="497" t="s">
        <v>358</v>
      </c>
      <c r="M965" s="497" t="s">
        <v>364</v>
      </c>
      <c r="N965" s="497" t="s">
        <v>358</v>
      </c>
      <c r="O965" s="497" t="s">
        <v>366</v>
      </c>
      <c r="P965" s="497" t="s">
        <v>286</v>
      </c>
      <c r="Q965" s="128"/>
    </row>
    <row r="966" spans="1:17" ht="13.5" thickBot="1">
      <c r="C966" s="500" t="s">
        <v>177</v>
      </c>
      <c r="D966" s="501" t="s">
        <v>178</v>
      </c>
      <c r="E966" s="500" t="s">
        <v>37</v>
      </c>
      <c r="F966" s="501" t="s">
        <v>178</v>
      </c>
      <c r="G966" s="501" t="s">
        <v>178</v>
      </c>
      <c r="H966" s="502" t="s">
        <v>298</v>
      </c>
      <c r="I966" s="503" t="s">
        <v>300</v>
      </c>
      <c r="J966" s="500" t="s">
        <v>389</v>
      </c>
      <c r="K966" s="504"/>
      <c r="L966" s="502" t="s">
        <v>287</v>
      </c>
      <c r="M966" s="502" t="s">
        <v>287</v>
      </c>
      <c r="N966" s="502" t="s">
        <v>467</v>
      </c>
      <c r="O966" s="502" t="s">
        <v>467</v>
      </c>
      <c r="P966" s="502" t="s">
        <v>467</v>
      </c>
      <c r="Q966" s="135"/>
    </row>
    <row r="967" spans="1:17">
      <c r="C967" s="505">
        <f>IF(D961= "","-",D961)</f>
        <v>2014</v>
      </c>
      <c r="D967" s="469">
        <f>+D960</f>
        <v>0</v>
      </c>
      <c r="E967" s="506">
        <f>+J964/12*(12-D962)</f>
        <v>0</v>
      </c>
      <c r="F967" s="548">
        <f t="shared" ref="F967:F1026" si="88">+D967-E967</f>
        <v>0</v>
      </c>
      <c r="G967" s="469">
        <f t="shared" ref="G967:G1026" si="89">+(D967+F967)/2</f>
        <v>0</v>
      </c>
      <c r="H967" s="507">
        <f>+J962*G967+E967</f>
        <v>0</v>
      </c>
      <c r="I967" s="508">
        <f>+J963*G967+E967</f>
        <v>0</v>
      </c>
      <c r="J967" s="509">
        <f t="shared" ref="J967:J1026" si="90">+I967-H967</f>
        <v>0</v>
      </c>
      <c r="K967" s="509"/>
      <c r="L967" s="513">
        <v>99055</v>
      </c>
      <c r="M967" s="549">
        <f t="shared" ref="M967:M1026" si="91">IF(L967&lt;&gt;0,+H967-L967,0)</f>
        <v>-99055</v>
      </c>
      <c r="N967" s="513">
        <v>99055</v>
      </c>
      <c r="O967" s="549">
        <f t="shared" ref="O967:O1026" si="92">IF(N967&lt;&gt;0,+I967-N967,0)</f>
        <v>-99055</v>
      </c>
      <c r="P967" s="549">
        <f t="shared" ref="P967:P1026" si="93">+O967-M967</f>
        <v>0</v>
      </c>
      <c r="Q967" s="471"/>
    </row>
    <row r="968" spans="1:17">
      <c r="C968" s="505">
        <f>IF(D961="","-",+C967+1)</f>
        <v>2015</v>
      </c>
      <c r="D968" s="469">
        <f t="shared" ref="D968:D1026" si="94">F967</f>
        <v>0</v>
      </c>
      <c r="E968" s="511">
        <f>IF(D968&gt;$J$964,$J$964,D968)</f>
        <v>0</v>
      </c>
      <c r="F968" s="511">
        <f t="shared" si="88"/>
        <v>0</v>
      </c>
      <c r="G968" s="469">
        <f t="shared" si="89"/>
        <v>0</v>
      </c>
      <c r="H968" s="506">
        <f>+J962*G968+E968</f>
        <v>0</v>
      </c>
      <c r="I968" s="512">
        <f>+J963*G968+E968</f>
        <v>0</v>
      </c>
      <c r="J968" s="509">
        <f t="shared" si="90"/>
        <v>0</v>
      </c>
      <c r="K968" s="509"/>
      <c r="L968" s="513">
        <v>178664</v>
      </c>
      <c r="M968" s="509">
        <f t="shared" si="91"/>
        <v>-178664</v>
      </c>
      <c r="N968" s="513">
        <v>178664</v>
      </c>
      <c r="O968" s="509">
        <f t="shared" si="92"/>
        <v>-178664</v>
      </c>
      <c r="P968" s="509">
        <f t="shared" si="93"/>
        <v>0</v>
      </c>
      <c r="Q968" s="471"/>
    </row>
    <row r="969" spans="1:17">
      <c r="C969" s="505">
        <f>IF(D961="","-",+C968+1)</f>
        <v>2016</v>
      </c>
      <c r="D969" s="469">
        <f t="shared" si="94"/>
        <v>0</v>
      </c>
      <c r="E969" s="511">
        <f t="shared" ref="E969:E1026" si="95">IF(D969&gt;$J$964,$J$964,D969)</f>
        <v>0</v>
      </c>
      <c r="F969" s="511">
        <f t="shared" si="88"/>
        <v>0</v>
      </c>
      <c r="G969" s="469">
        <f t="shared" si="89"/>
        <v>0</v>
      </c>
      <c r="H969" s="506">
        <f>+J962*G969+E969</f>
        <v>0</v>
      </c>
      <c r="I969" s="512">
        <f>+J963*G969+E969</f>
        <v>0</v>
      </c>
      <c r="J969" s="509">
        <f t="shared" si="90"/>
        <v>0</v>
      </c>
      <c r="K969" s="509"/>
      <c r="L969" s="513">
        <v>174005</v>
      </c>
      <c r="M969" s="509">
        <f t="shared" si="91"/>
        <v>-174005</v>
      </c>
      <c r="N969" s="513">
        <v>174005</v>
      </c>
      <c r="O969" s="509">
        <f t="shared" si="92"/>
        <v>-174005</v>
      </c>
      <c r="P969" s="509">
        <f t="shared" si="93"/>
        <v>0</v>
      </c>
      <c r="Q969" s="471"/>
    </row>
    <row r="970" spans="1:17">
      <c r="C970" s="505">
        <f>IF(D961="","-",+C969+1)</f>
        <v>2017</v>
      </c>
      <c r="D970" s="469">
        <f t="shared" si="94"/>
        <v>0</v>
      </c>
      <c r="E970" s="511">
        <f t="shared" si="95"/>
        <v>0</v>
      </c>
      <c r="F970" s="511">
        <f t="shared" si="88"/>
        <v>0</v>
      </c>
      <c r="G970" s="469">
        <f t="shared" si="89"/>
        <v>0</v>
      </c>
      <c r="H970" s="506">
        <f>+J962*G970+E970</f>
        <v>0</v>
      </c>
      <c r="I970" s="512">
        <f>+J963*G970+E970</f>
        <v>0</v>
      </c>
      <c r="J970" s="509">
        <f t="shared" si="90"/>
        <v>0</v>
      </c>
      <c r="K970" s="509"/>
      <c r="L970" s="513">
        <v>176014</v>
      </c>
      <c r="M970" s="509">
        <f t="shared" si="91"/>
        <v>-176014</v>
      </c>
      <c r="N970" s="513">
        <v>176014</v>
      </c>
      <c r="O970" s="509">
        <f t="shared" si="92"/>
        <v>-176014</v>
      </c>
      <c r="P970" s="509">
        <f t="shared" si="93"/>
        <v>0</v>
      </c>
      <c r="Q970" s="471"/>
    </row>
    <row r="971" spans="1:17">
      <c r="C971" s="505">
        <f>IF(D961="","-",+C970+1)</f>
        <v>2018</v>
      </c>
      <c r="D971" s="469">
        <f t="shared" si="94"/>
        <v>0</v>
      </c>
      <c r="E971" s="511">
        <f t="shared" si="95"/>
        <v>0</v>
      </c>
      <c r="F971" s="511">
        <f t="shared" si="88"/>
        <v>0</v>
      </c>
      <c r="G971" s="469">
        <f t="shared" si="89"/>
        <v>0</v>
      </c>
      <c r="H971" s="506">
        <f>+J962*G971+E971</f>
        <v>0</v>
      </c>
      <c r="I971" s="512">
        <f>+J963*G971+E971</f>
        <v>0</v>
      </c>
      <c r="J971" s="509">
        <f t="shared" si="90"/>
        <v>0</v>
      </c>
      <c r="K971" s="509"/>
      <c r="L971" s="513">
        <v>137768</v>
      </c>
      <c r="M971" s="509">
        <f t="shared" si="91"/>
        <v>-137768</v>
      </c>
      <c r="N971" s="513">
        <v>137768</v>
      </c>
      <c r="O971" s="509">
        <f t="shared" si="92"/>
        <v>-137768</v>
      </c>
      <c r="P971" s="509">
        <f t="shared" si="93"/>
        <v>0</v>
      </c>
      <c r="Q971" s="471"/>
    </row>
    <row r="972" spans="1:17">
      <c r="C972" s="505">
        <f>IF(D961="","-",+C971+1)</f>
        <v>2019</v>
      </c>
      <c r="D972" s="941">
        <f t="shared" si="94"/>
        <v>0</v>
      </c>
      <c r="E972" s="511">
        <f t="shared" si="95"/>
        <v>0</v>
      </c>
      <c r="F972" s="511">
        <f t="shared" si="88"/>
        <v>0</v>
      </c>
      <c r="G972" s="469">
        <f t="shared" si="89"/>
        <v>0</v>
      </c>
      <c r="H972" s="506">
        <f>+J962*G972+E972</f>
        <v>0</v>
      </c>
      <c r="I972" s="512">
        <f>+J963*G972+E972</f>
        <v>0</v>
      </c>
      <c r="J972" s="509">
        <f t="shared" si="90"/>
        <v>0</v>
      </c>
      <c r="K972" s="509"/>
      <c r="L972" s="513">
        <v>0</v>
      </c>
      <c r="M972" s="509">
        <f t="shared" si="91"/>
        <v>0</v>
      </c>
      <c r="N972" s="513">
        <v>0</v>
      </c>
      <c r="O972" s="509">
        <f t="shared" si="92"/>
        <v>0</v>
      </c>
      <c r="P972" s="509">
        <f t="shared" si="93"/>
        <v>0</v>
      </c>
      <c r="Q972" s="471"/>
    </row>
    <row r="973" spans="1:17">
      <c r="C973" s="505">
        <f>IF(D961="","-",+C972+1)</f>
        <v>2020</v>
      </c>
      <c r="D973" s="941">
        <f t="shared" si="94"/>
        <v>0</v>
      </c>
      <c r="E973" s="511">
        <f t="shared" si="95"/>
        <v>0</v>
      </c>
      <c r="F973" s="511">
        <f t="shared" si="88"/>
        <v>0</v>
      </c>
      <c r="G973" s="469">
        <f t="shared" si="89"/>
        <v>0</v>
      </c>
      <c r="H973" s="506">
        <f>+J962*G973+E973</f>
        <v>0</v>
      </c>
      <c r="I973" s="512">
        <f>+J963*G973+E973</f>
        <v>0</v>
      </c>
      <c r="J973" s="509">
        <f t="shared" si="90"/>
        <v>0</v>
      </c>
      <c r="K973" s="509"/>
      <c r="L973" s="513">
        <v>0</v>
      </c>
      <c r="M973" s="509">
        <f t="shared" si="91"/>
        <v>0</v>
      </c>
      <c r="N973" s="513">
        <v>0</v>
      </c>
      <c r="O973" s="509">
        <f t="shared" si="92"/>
        <v>0</v>
      </c>
      <c r="P973" s="509">
        <f t="shared" si="93"/>
        <v>0</v>
      </c>
      <c r="Q973" s="471"/>
    </row>
    <row r="974" spans="1:17">
      <c r="C974" s="505">
        <f>IF(D961="","-",+C973+1)</f>
        <v>2021</v>
      </c>
      <c r="D974" s="469">
        <f t="shared" si="94"/>
        <v>0</v>
      </c>
      <c r="E974" s="511">
        <f t="shared" si="95"/>
        <v>0</v>
      </c>
      <c r="F974" s="511">
        <f t="shared" si="88"/>
        <v>0</v>
      </c>
      <c r="G974" s="469">
        <f t="shared" si="89"/>
        <v>0</v>
      </c>
      <c r="H974" s="506">
        <f>+J962*G974+E974</f>
        <v>0</v>
      </c>
      <c r="I974" s="512">
        <f>+J963*G974+E974</f>
        <v>0</v>
      </c>
      <c r="J974" s="509">
        <f t="shared" si="90"/>
        <v>0</v>
      </c>
      <c r="K974" s="509"/>
      <c r="L974" s="513">
        <v>0</v>
      </c>
      <c r="M974" s="509">
        <f t="shared" si="91"/>
        <v>0</v>
      </c>
      <c r="N974" s="513">
        <v>0</v>
      </c>
      <c r="O974" s="509">
        <f t="shared" si="92"/>
        <v>0</v>
      </c>
      <c r="P974" s="509">
        <f t="shared" si="93"/>
        <v>0</v>
      </c>
      <c r="Q974" s="471"/>
    </row>
    <row r="975" spans="1:17">
      <c r="C975" s="505">
        <f>IF(D961="","-",+C974+1)</f>
        <v>2022</v>
      </c>
      <c r="D975" s="469">
        <f t="shared" si="94"/>
        <v>0</v>
      </c>
      <c r="E975" s="511">
        <f t="shared" si="95"/>
        <v>0</v>
      </c>
      <c r="F975" s="511">
        <f t="shared" si="88"/>
        <v>0</v>
      </c>
      <c r="G975" s="469">
        <f t="shared" si="89"/>
        <v>0</v>
      </c>
      <c r="H975" s="506">
        <f>+J962*G975+E975</f>
        <v>0</v>
      </c>
      <c r="I975" s="512">
        <f>+J963*G975+E975</f>
        <v>0</v>
      </c>
      <c r="J975" s="509">
        <f t="shared" si="90"/>
        <v>0</v>
      </c>
      <c r="K975" s="509"/>
      <c r="L975" s="513">
        <v>0</v>
      </c>
      <c r="M975" s="509">
        <f t="shared" si="91"/>
        <v>0</v>
      </c>
      <c r="N975" s="513">
        <v>0</v>
      </c>
      <c r="O975" s="509">
        <f t="shared" si="92"/>
        <v>0</v>
      </c>
      <c r="P975" s="509">
        <f t="shared" si="93"/>
        <v>0</v>
      </c>
      <c r="Q975" s="471"/>
    </row>
    <row r="976" spans="1:17">
      <c r="C976" s="963">
        <f>IF(D961="","-",+C975+1)</f>
        <v>2023</v>
      </c>
      <c r="D976" s="469">
        <f t="shared" si="94"/>
        <v>0</v>
      </c>
      <c r="E976" s="511">
        <f t="shared" si="95"/>
        <v>0</v>
      </c>
      <c r="F976" s="511">
        <f t="shared" si="88"/>
        <v>0</v>
      </c>
      <c r="G976" s="469">
        <f t="shared" si="89"/>
        <v>0</v>
      </c>
      <c r="H976" s="506">
        <f>+J962*G976+E976</f>
        <v>0</v>
      </c>
      <c r="I976" s="512">
        <f>+J963*G976+E976</f>
        <v>0</v>
      </c>
      <c r="J976" s="509">
        <f t="shared" si="90"/>
        <v>0</v>
      </c>
      <c r="K976" s="509"/>
      <c r="L976" s="513">
        <v>0</v>
      </c>
      <c r="M976" s="509">
        <f t="shared" si="91"/>
        <v>0</v>
      </c>
      <c r="N976" s="513">
        <v>0</v>
      </c>
      <c r="O976" s="509">
        <f t="shared" si="92"/>
        <v>0</v>
      </c>
      <c r="P976" s="509">
        <f t="shared" si="93"/>
        <v>0</v>
      </c>
      <c r="Q976" s="471"/>
    </row>
    <row r="977" spans="3:17">
      <c r="C977" s="505">
        <f>IF(D961="","-",+C976+1)</f>
        <v>2024</v>
      </c>
      <c r="D977" s="469">
        <f t="shared" si="94"/>
        <v>0</v>
      </c>
      <c r="E977" s="511">
        <f t="shared" si="95"/>
        <v>0</v>
      </c>
      <c r="F977" s="511">
        <f t="shared" si="88"/>
        <v>0</v>
      </c>
      <c r="G977" s="469">
        <f t="shared" si="89"/>
        <v>0</v>
      </c>
      <c r="H977" s="506">
        <f>+J962*G977+E977</f>
        <v>0</v>
      </c>
      <c r="I977" s="512">
        <f>+J963*G977+E977</f>
        <v>0</v>
      </c>
      <c r="J977" s="509">
        <f t="shared" si="90"/>
        <v>0</v>
      </c>
      <c r="K977" s="509"/>
      <c r="L977" s="513"/>
      <c r="M977" s="509">
        <f t="shared" si="91"/>
        <v>0</v>
      </c>
      <c r="N977" s="513"/>
      <c r="O977" s="509">
        <f t="shared" si="92"/>
        <v>0</v>
      </c>
      <c r="P977" s="509">
        <f t="shared" si="93"/>
        <v>0</v>
      </c>
      <c r="Q977" s="471"/>
    </row>
    <row r="978" spans="3:17">
      <c r="C978" s="505">
        <f>IF(D961="","-",+C977+1)</f>
        <v>2025</v>
      </c>
      <c r="D978" s="469">
        <f t="shared" si="94"/>
        <v>0</v>
      </c>
      <c r="E978" s="511">
        <f t="shared" si="95"/>
        <v>0</v>
      </c>
      <c r="F978" s="511">
        <f t="shared" si="88"/>
        <v>0</v>
      </c>
      <c r="G978" s="469">
        <f t="shared" si="89"/>
        <v>0</v>
      </c>
      <c r="H978" s="506">
        <f>+J962*G978+E978</f>
        <v>0</v>
      </c>
      <c r="I978" s="512">
        <f>+J963*G978+E978</f>
        <v>0</v>
      </c>
      <c r="J978" s="509">
        <f t="shared" si="90"/>
        <v>0</v>
      </c>
      <c r="K978" s="509"/>
      <c r="L978" s="513"/>
      <c r="M978" s="509">
        <f t="shared" si="91"/>
        <v>0</v>
      </c>
      <c r="N978" s="513"/>
      <c r="O978" s="509">
        <f t="shared" si="92"/>
        <v>0</v>
      </c>
      <c r="P978" s="509">
        <f t="shared" si="93"/>
        <v>0</v>
      </c>
      <c r="Q978" s="471"/>
    </row>
    <row r="979" spans="3:17">
      <c r="C979" s="505">
        <f>IF(D961="","-",+C978+1)</f>
        <v>2026</v>
      </c>
      <c r="D979" s="469">
        <f t="shared" si="94"/>
        <v>0</v>
      </c>
      <c r="E979" s="511">
        <f t="shared" si="95"/>
        <v>0</v>
      </c>
      <c r="F979" s="511">
        <f t="shared" si="88"/>
        <v>0</v>
      </c>
      <c r="G979" s="469">
        <f t="shared" si="89"/>
        <v>0</v>
      </c>
      <c r="H979" s="506">
        <f>+J962*G979+E979</f>
        <v>0</v>
      </c>
      <c r="I979" s="512">
        <f>+J963*G979+E979</f>
        <v>0</v>
      </c>
      <c r="J979" s="509">
        <f t="shared" si="90"/>
        <v>0</v>
      </c>
      <c r="K979" s="509"/>
      <c r="L979" s="513"/>
      <c r="M979" s="509">
        <f t="shared" si="91"/>
        <v>0</v>
      </c>
      <c r="N979" s="513"/>
      <c r="O979" s="509">
        <f t="shared" si="92"/>
        <v>0</v>
      </c>
      <c r="P979" s="509">
        <f t="shared" si="93"/>
        <v>0</v>
      </c>
      <c r="Q979" s="471"/>
    </row>
    <row r="980" spans="3:17">
      <c r="C980" s="505">
        <f>IF(D961="","-",+C979+1)</f>
        <v>2027</v>
      </c>
      <c r="D980" s="469">
        <f t="shared" si="94"/>
        <v>0</v>
      </c>
      <c r="E980" s="511">
        <f t="shared" si="95"/>
        <v>0</v>
      </c>
      <c r="F980" s="511">
        <f t="shared" si="88"/>
        <v>0</v>
      </c>
      <c r="G980" s="469">
        <f t="shared" si="89"/>
        <v>0</v>
      </c>
      <c r="H980" s="506">
        <f>+J962*G980+E980</f>
        <v>0</v>
      </c>
      <c r="I980" s="512">
        <f>+J963*G980+E980</f>
        <v>0</v>
      </c>
      <c r="J980" s="509">
        <f t="shared" si="90"/>
        <v>0</v>
      </c>
      <c r="K980" s="509"/>
      <c r="L980" s="513"/>
      <c r="M980" s="509">
        <f t="shared" si="91"/>
        <v>0</v>
      </c>
      <c r="N980" s="513"/>
      <c r="O980" s="509">
        <f t="shared" si="92"/>
        <v>0</v>
      </c>
      <c r="P980" s="509">
        <f t="shared" si="93"/>
        <v>0</v>
      </c>
      <c r="Q980" s="471"/>
    </row>
    <row r="981" spans="3:17">
      <c r="C981" s="505">
        <f>IF(D961="","-",+C980+1)</f>
        <v>2028</v>
      </c>
      <c r="D981" s="469">
        <f t="shared" si="94"/>
        <v>0</v>
      </c>
      <c r="E981" s="511">
        <f t="shared" si="95"/>
        <v>0</v>
      </c>
      <c r="F981" s="511">
        <f t="shared" si="88"/>
        <v>0</v>
      </c>
      <c r="G981" s="469">
        <f t="shared" si="89"/>
        <v>0</v>
      </c>
      <c r="H981" s="506">
        <f>+J962*G981+E981</f>
        <v>0</v>
      </c>
      <c r="I981" s="512">
        <f>+J963*G981+E981</f>
        <v>0</v>
      </c>
      <c r="J981" s="509">
        <f t="shared" si="90"/>
        <v>0</v>
      </c>
      <c r="K981" s="509"/>
      <c r="L981" s="513"/>
      <c r="M981" s="509">
        <f t="shared" si="91"/>
        <v>0</v>
      </c>
      <c r="N981" s="513"/>
      <c r="O981" s="509">
        <f t="shared" si="92"/>
        <v>0</v>
      </c>
      <c r="P981" s="509">
        <f t="shared" si="93"/>
        <v>0</v>
      </c>
      <c r="Q981" s="471"/>
    </row>
    <row r="982" spans="3:17">
      <c r="C982" s="505">
        <f>IF(D961="","-",+C981+1)</f>
        <v>2029</v>
      </c>
      <c r="D982" s="469">
        <f t="shared" si="94"/>
        <v>0</v>
      </c>
      <c r="E982" s="511">
        <f t="shared" si="95"/>
        <v>0</v>
      </c>
      <c r="F982" s="511">
        <f t="shared" si="88"/>
        <v>0</v>
      </c>
      <c r="G982" s="469">
        <f t="shared" si="89"/>
        <v>0</v>
      </c>
      <c r="H982" s="506">
        <f>+J962*G982+E982</f>
        <v>0</v>
      </c>
      <c r="I982" s="512">
        <f>+J963*G982+E982</f>
        <v>0</v>
      </c>
      <c r="J982" s="509">
        <f t="shared" si="90"/>
        <v>0</v>
      </c>
      <c r="K982" s="509"/>
      <c r="L982" s="513"/>
      <c r="M982" s="509">
        <f t="shared" si="91"/>
        <v>0</v>
      </c>
      <c r="N982" s="513"/>
      <c r="O982" s="509">
        <f t="shared" si="92"/>
        <v>0</v>
      </c>
      <c r="P982" s="509">
        <f t="shared" si="93"/>
        <v>0</v>
      </c>
      <c r="Q982" s="471"/>
    </row>
    <row r="983" spans="3:17">
      <c r="C983" s="505">
        <f>IF(D961="","-",+C982+1)</f>
        <v>2030</v>
      </c>
      <c r="D983" s="469">
        <f t="shared" si="94"/>
        <v>0</v>
      </c>
      <c r="E983" s="511">
        <f t="shared" si="95"/>
        <v>0</v>
      </c>
      <c r="F983" s="511">
        <f t="shared" si="88"/>
        <v>0</v>
      </c>
      <c r="G983" s="469">
        <f t="shared" si="89"/>
        <v>0</v>
      </c>
      <c r="H983" s="506">
        <f>+J962*G983+E983</f>
        <v>0</v>
      </c>
      <c r="I983" s="512">
        <f>+J963*G983+E983</f>
        <v>0</v>
      </c>
      <c r="J983" s="509">
        <f t="shared" si="90"/>
        <v>0</v>
      </c>
      <c r="K983" s="509"/>
      <c r="L983" s="513"/>
      <c r="M983" s="509">
        <f t="shared" si="91"/>
        <v>0</v>
      </c>
      <c r="N983" s="513"/>
      <c r="O983" s="509">
        <f t="shared" si="92"/>
        <v>0</v>
      </c>
      <c r="P983" s="509">
        <f t="shared" si="93"/>
        <v>0</v>
      </c>
      <c r="Q983" s="471"/>
    </row>
    <row r="984" spans="3:17">
      <c r="C984" s="505">
        <f>IF(D961="","-",+C983+1)</f>
        <v>2031</v>
      </c>
      <c r="D984" s="469">
        <f t="shared" si="94"/>
        <v>0</v>
      </c>
      <c r="E984" s="511">
        <f t="shared" si="95"/>
        <v>0</v>
      </c>
      <c r="F984" s="511">
        <f t="shared" si="88"/>
        <v>0</v>
      </c>
      <c r="G984" s="469">
        <f t="shared" si="89"/>
        <v>0</v>
      </c>
      <c r="H984" s="506">
        <f>+J962*G984+E984</f>
        <v>0</v>
      </c>
      <c r="I984" s="512">
        <f>+J963*G984+E984</f>
        <v>0</v>
      </c>
      <c r="J984" s="509">
        <f t="shared" si="90"/>
        <v>0</v>
      </c>
      <c r="K984" s="509"/>
      <c r="L984" s="513"/>
      <c r="M984" s="509">
        <f t="shared" si="91"/>
        <v>0</v>
      </c>
      <c r="N984" s="513"/>
      <c r="O984" s="509">
        <f t="shared" si="92"/>
        <v>0</v>
      </c>
      <c r="P984" s="509">
        <f t="shared" si="93"/>
        <v>0</v>
      </c>
      <c r="Q984" s="471"/>
    </row>
    <row r="985" spans="3:17">
      <c r="C985" s="505">
        <f>IF(D961="","-",+C984+1)</f>
        <v>2032</v>
      </c>
      <c r="D985" s="469">
        <f t="shared" si="94"/>
        <v>0</v>
      </c>
      <c r="E985" s="511">
        <f t="shared" si="95"/>
        <v>0</v>
      </c>
      <c r="F985" s="511">
        <f t="shared" si="88"/>
        <v>0</v>
      </c>
      <c r="G985" s="469">
        <f t="shared" si="89"/>
        <v>0</v>
      </c>
      <c r="H985" s="506">
        <f>+J962*G985+E985</f>
        <v>0</v>
      </c>
      <c r="I985" s="512">
        <f>+J963*G985+E985</f>
        <v>0</v>
      </c>
      <c r="J985" s="509">
        <f t="shared" si="90"/>
        <v>0</v>
      </c>
      <c r="K985" s="509"/>
      <c r="L985" s="513"/>
      <c r="M985" s="509">
        <f t="shared" si="91"/>
        <v>0</v>
      </c>
      <c r="N985" s="513"/>
      <c r="O985" s="509">
        <f t="shared" si="92"/>
        <v>0</v>
      </c>
      <c r="P985" s="509">
        <f t="shared" si="93"/>
        <v>0</v>
      </c>
      <c r="Q985" s="471"/>
    </row>
    <row r="986" spans="3:17">
      <c r="C986" s="505">
        <f>IF(D961="","-",+C985+1)</f>
        <v>2033</v>
      </c>
      <c r="D986" s="469">
        <f t="shared" si="94"/>
        <v>0</v>
      </c>
      <c r="E986" s="511">
        <f t="shared" si="95"/>
        <v>0</v>
      </c>
      <c r="F986" s="511">
        <f t="shared" si="88"/>
        <v>0</v>
      </c>
      <c r="G986" s="469">
        <f t="shared" si="89"/>
        <v>0</v>
      </c>
      <c r="H986" s="506">
        <f>+J962*G986+E986</f>
        <v>0</v>
      </c>
      <c r="I986" s="512">
        <f>+J963*G986+E986</f>
        <v>0</v>
      </c>
      <c r="J986" s="509">
        <f t="shared" si="90"/>
        <v>0</v>
      </c>
      <c r="K986" s="509"/>
      <c r="L986" s="513"/>
      <c r="M986" s="509">
        <f t="shared" si="91"/>
        <v>0</v>
      </c>
      <c r="N986" s="513"/>
      <c r="O986" s="509">
        <f t="shared" si="92"/>
        <v>0</v>
      </c>
      <c r="P986" s="509">
        <f t="shared" si="93"/>
        <v>0</v>
      </c>
      <c r="Q986" s="471"/>
    </row>
    <row r="987" spans="3:17">
      <c r="C987" s="505">
        <f>IF(D961="","-",+C986+1)</f>
        <v>2034</v>
      </c>
      <c r="D987" s="469">
        <f t="shared" si="94"/>
        <v>0</v>
      </c>
      <c r="E987" s="511">
        <f t="shared" si="95"/>
        <v>0</v>
      </c>
      <c r="F987" s="511">
        <f t="shared" si="88"/>
        <v>0</v>
      </c>
      <c r="G987" s="469">
        <f t="shared" si="89"/>
        <v>0</v>
      </c>
      <c r="H987" s="506">
        <f>+J962*G987+E987</f>
        <v>0</v>
      </c>
      <c r="I987" s="512">
        <f>+J963*G987+E987</f>
        <v>0</v>
      </c>
      <c r="J987" s="509">
        <f t="shared" si="90"/>
        <v>0</v>
      </c>
      <c r="K987" s="509"/>
      <c r="L987" s="513"/>
      <c r="M987" s="509">
        <f t="shared" si="91"/>
        <v>0</v>
      </c>
      <c r="N987" s="513"/>
      <c r="O987" s="509">
        <f t="shared" si="92"/>
        <v>0</v>
      </c>
      <c r="P987" s="509">
        <f t="shared" si="93"/>
        <v>0</v>
      </c>
      <c r="Q987" s="471"/>
    </row>
    <row r="988" spans="3:17">
      <c r="C988" s="505">
        <f>IF(D961="","-",+C987+1)</f>
        <v>2035</v>
      </c>
      <c r="D988" s="469">
        <f t="shared" si="94"/>
        <v>0</v>
      </c>
      <c r="E988" s="511">
        <f t="shared" si="95"/>
        <v>0</v>
      </c>
      <c r="F988" s="511">
        <f t="shared" si="88"/>
        <v>0</v>
      </c>
      <c r="G988" s="469">
        <f t="shared" si="89"/>
        <v>0</v>
      </c>
      <c r="H988" s="506">
        <f>+J962*G988+E988</f>
        <v>0</v>
      </c>
      <c r="I988" s="512">
        <f>+J963*G988+E988</f>
        <v>0</v>
      </c>
      <c r="J988" s="509">
        <f t="shared" si="90"/>
        <v>0</v>
      </c>
      <c r="K988" s="509"/>
      <c r="L988" s="513"/>
      <c r="M988" s="509">
        <f t="shared" si="91"/>
        <v>0</v>
      </c>
      <c r="N988" s="513"/>
      <c r="O988" s="509">
        <f t="shared" si="92"/>
        <v>0</v>
      </c>
      <c r="P988" s="509">
        <f t="shared" si="93"/>
        <v>0</v>
      </c>
      <c r="Q988" s="471"/>
    </row>
    <row r="989" spans="3:17">
      <c r="C989" s="505">
        <f>IF(D961="","-",+C988+1)</f>
        <v>2036</v>
      </c>
      <c r="D989" s="469">
        <f t="shared" si="94"/>
        <v>0</v>
      </c>
      <c r="E989" s="511">
        <f t="shared" si="95"/>
        <v>0</v>
      </c>
      <c r="F989" s="511">
        <f t="shared" si="88"/>
        <v>0</v>
      </c>
      <c r="G989" s="469">
        <f t="shared" si="89"/>
        <v>0</v>
      </c>
      <c r="H989" s="506">
        <f>+J962*G989+E989</f>
        <v>0</v>
      </c>
      <c r="I989" s="512">
        <f>+J963*G989+E989</f>
        <v>0</v>
      </c>
      <c r="J989" s="509">
        <f t="shared" si="90"/>
        <v>0</v>
      </c>
      <c r="K989" s="509"/>
      <c r="L989" s="513"/>
      <c r="M989" s="509">
        <f t="shared" si="91"/>
        <v>0</v>
      </c>
      <c r="N989" s="513"/>
      <c r="O989" s="509">
        <f t="shared" si="92"/>
        <v>0</v>
      </c>
      <c r="P989" s="509">
        <f t="shared" si="93"/>
        <v>0</v>
      </c>
      <c r="Q989" s="471"/>
    </row>
    <row r="990" spans="3:17">
      <c r="C990" s="505">
        <f>IF(D961="","-",+C989+1)</f>
        <v>2037</v>
      </c>
      <c r="D990" s="469">
        <f t="shared" si="94"/>
        <v>0</v>
      </c>
      <c r="E990" s="511">
        <f t="shared" si="95"/>
        <v>0</v>
      </c>
      <c r="F990" s="511">
        <f t="shared" si="88"/>
        <v>0</v>
      </c>
      <c r="G990" s="469">
        <f t="shared" si="89"/>
        <v>0</v>
      </c>
      <c r="H990" s="506">
        <f>+J962*G990+E990</f>
        <v>0</v>
      </c>
      <c r="I990" s="512">
        <f>+J963*G990+E990</f>
        <v>0</v>
      </c>
      <c r="J990" s="509">
        <f t="shared" si="90"/>
        <v>0</v>
      </c>
      <c r="K990" s="509"/>
      <c r="L990" s="513"/>
      <c r="M990" s="509">
        <f t="shared" si="91"/>
        <v>0</v>
      </c>
      <c r="N990" s="513"/>
      <c r="O990" s="509">
        <f t="shared" si="92"/>
        <v>0</v>
      </c>
      <c r="P990" s="509">
        <f t="shared" si="93"/>
        <v>0</v>
      </c>
      <c r="Q990" s="471"/>
    </row>
    <row r="991" spans="3:17">
      <c r="C991" s="505">
        <f>IF(D961="","-",+C990+1)</f>
        <v>2038</v>
      </c>
      <c r="D991" s="469">
        <f t="shared" si="94"/>
        <v>0</v>
      </c>
      <c r="E991" s="511">
        <f t="shared" si="95"/>
        <v>0</v>
      </c>
      <c r="F991" s="511">
        <f t="shared" si="88"/>
        <v>0</v>
      </c>
      <c r="G991" s="469">
        <f t="shared" si="89"/>
        <v>0</v>
      </c>
      <c r="H991" s="506">
        <f>+J962*G991+E991</f>
        <v>0</v>
      </c>
      <c r="I991" s="512">
        <f>+J963*G991+E991</f>
        <v>0</v>
      </c>
      <c r="J991" s="509">
        <f t="shared" si="90"/>
        <v>0</v>
      </c>
      <c r="K991" s="509"/>
      <c r="L991" s="513"/>
      <c r="M991" s="509">
        <f t="shared" si="91"/>
        <v>0</v>
      </c>
      <c r="N991" s="513"/>
      <c r="O991" s="509">
        <f t="shared" si="92"/>
        <v>0</v>
      </c>
      <c r="P991" s="509">
        <f t="shared" si="93"/>
        <v>0</v>
      </c>
      <c r="Q991" s="471"/>
    </row>
    <row r="992" spans="3:17">
      <c r="C992" s="505">
        <f>IF(D961="","-",+C991+1)</f>
        <v>2039</v>
      </c>
      <c r="D992" s="469">
        <f t="shared" si="94"/>
        <v>0</v>
      </c>
      <c r="E992" s="511">
        <f t="shared" si="95"/>
        <v>0</v>
      </c>
      <c r="F992" s="511">
        <f t="shared" si="88"/>
        <v>0</v>
      </c>
      <c r="G992" s="469">
        <f t="shared" si="89"/>
        <v>0</v>
      </c>
      <c r="H992" s="506">
        <f>+J962*G992+E992</f>
        <v>0</v>
      </c>
      <c r="I992" s="512">
        <f>+J963*G992+E992</f>
        <v>0</v>
      </c>
      <c r="J992" s="509">
        <f t="shared" si="90"/>
        <v>0</v>
      </c>
      <c r="K992" s="509"/>
      <c r="L992" s="513"/>
      <c r="M992" s="509">
        <f t="shared" si="91"/>
        <v>0</v>
      </c>
      <c r="N992" s="513"/>
      <c r="O992" s="509">
        <f t="shared" si="92"/>
        <v>0</v>
      </c>
      <c r="P992" s="509">
        <f t="shared" si="93"/>
        <v>0</v>
      </c>
      <c r="Q992" s="471"/>
    </row>
    <row r="993" spans="3:17">
      <c r="C993" s="505">
        <f>IF(D961="","-",+C992+1)</f>
        <v>2040</v>
      </c>
      <c r="D993" s="469">
        <f t="shared" si="94"/>
        <v>0</v>
      </c>
      <c r="E993" s="511">
        <f t="shared" si="95"/>
        <v>0</v>
      </c>
      <c r="F993" s="511">
        <f t="shared" si="88"/>
        <v>0</v>
      </c>
      <c r="G993" s="469">
        <f t="shared" si="89"/>
        <v>0</v>
      </c>
      <c r="H993" s="506">
        <f>+J962*G993+E993</f>
        <v>0</v>
      </c>
      <c r="I993" s="512">
        <f>+J963*G993+E993</f>
        <v>0</v>
      </c>
      <c r="J993" s="509">
        <f t="shared" si="90"/>
        <v>0</v>
      </c>
      <c r="K993" s="509"/>
      <c r="L993" s="513"/>
      <c r="M993" s="509">
        <f t="shared" si="91"/>
        <v>0</v>
      </c>
      <c r="N993" s="513"/>
      <c r="O993" s="509">
        <f t="shared" si="92"/>
        <v>0</v>
      </c>
      <c r="P993" s="509">
        <f t="shared" si="93"/>
        <v>0</v>
      </c>
      <c r="Q993" s="471"/>
    </row>
    <row r="994" spans="3:17">
      <c r="C994" s="505">
        <f>IF(D961="","-",+C993+1)</f>
        <v>2041</v>
      </c>
      <c r="D994" s="469">
        <f t="shared" si="94"/>
        <v>0</v>
      </c>
      <c r="E994" s="511">
        <f t="shared" si="95"/>
        <v>0</v>
      </c>
      <c r="F994" s="511">
        <f t="shared" si="88"/>
        <v>0</v>
      </c>
      <c r="G994" s="469">
        <f t="shared" si="89"/>
        <v>0</v>
      </c>
      <c r="H994" s="506">
        <f>+J962*G994+E994</f>
        <v>0</v>
      </c>
      <c r="I994" s="512">
        <f>+J963*G994+E994</f>
        <v>0</v>
      </c>
      <c r="J994" s="509">
        <f t="shared" si="90"/>
        <v>0</v>
      </c>
      <c r="K994" s="509"/>
      <c r="L994" s="513"/>
      <c r="M994" s="509">
        <f t="shared" si="91"/>
        <v>0</v>
      </c>
      <c r="N994" s="513"/>
      <c r="O994" s="509">
        <f t="shared" si="92"/>
        <v>0</v>
      </c>
      <c r="P994" s="509">
        <f t="shared" si="93"/>
        <v>0</v>
      </c>
      <c r="Q994" s="471"/>
    </row>
    <row r="995" spans="3:17">
      <c r="C995" s="505">
        <f>IF(D961="","-",+C994+1)</f>
        <v>2042</v>
      </c>
      <c r="D995" s="469">
        <f t="shared" si="94"/>
        <v>0</v>
      </c>
      <c r="E995" s="511">
        <f t="shared" si="95"/>
        <v>0</v>
      </c>
      <c r="F995" s="511">
        <f t="shared" si="88"/>
        <v>0</v>
      </c>
      <c r="G995" s="469">
        <f t="shared" si="89"/>
        <v>0</v>
      </c>
      <c r="H995" s="506">
        <f>+J962*G995+E995</f>
        <v>0</v>
      </c>
      <c r="I995" s="512">
        <f>+J963*G995+E995</f>
        <v>0</v>
      </c>
      <c r="J995" s="509">
        <f t="shared" si="90"/>
        <v>0</v>
      </c>
      <c r="K995" s="509"/>
      <c r="L995" s="513"/>
      <c r="M995" s="509">
        <f t="shared" si="91"/>
        <v>0</v>
      </c>
      <c r="N995" s="513"/>
      <c r="O995" s="509">
        <f t="shared" si="92"/>
        <v>0</v>
      </c>
      <c r="P995" s="509">
        <f t="shared" si="93"/>
        <v>0</v>
      </c>
      <c r="Q995" s="471"/>
    </row>
    <row r="996" spans="3:17">
      <c r="C996" s="505">
        <f>IF(D961="","-",+C995+1)</f>
        <v>2043</v>
      </c>
      <c r="D996" s="469">
        <f t="shared" si="94"/>
        <v>0</v>
      </c>
      <c r="E996" s="511">
        <f t="shared" si="95"/>
        <v>0</v>
      </c>
      <c r="F996" s="511">
        <f t="shared" si="88"/>
        <v>0</v>
      </c>
      <c r="G996" s="469">
        <f t="shared" si="89"/>
        <v>0</v>
      </c>
      <c r="H996" s="506">
        <f>+J962*G996+E996</f>
        <v>0</v>
      </c>
      <c r="I996" s="512">
        <f>+J963*G996+E996</f>
        <v>0</v>
      </c>
      <c r="J996" s="509">
        <f t="shared" si="90"/>
        <v>0</v>
      </c>
      <c r="K996" s="509"/>
      <c r="L996" s="513"/>
      <c r="M996" s="509">
        <f t="shared" si="91"/>
        <v>0</v>
      </c>
      <c r="N996" s="513"/>
      <c r="O996" s="509">
        <f t="shared" si="92"/>
        <v>0</v>
      </c>
      <c r="P996" s="509">
        <f t="shared" si="93"/>
        <v>0</v>
      </c>
      <c r="Q996" s="471"/>
    </row>
    <row r="997" spans="3:17">
      <c r="C997" s="505">
        <f>IF(D961="","-",+C996+1)</f>
        <v>2044</v>
      </c>
      <c r="D997" s="469">
        <f t="shared" si="94"/>
        <v>0</v>
      </c>
      <c r="E997" s="511">
        <f t="shared" si="95"/>
        <v>0</v>
      </c>
      <c r="F997" s="511">
        <f t="shared" si="88"/>
        <v>0</v>
      </c>
      <c r="G997" s="469">
        <f t="shared" si="89"/>
        <v>0</v>
      </c>
      <c r="H997" s="506">
        <f>+J962*G997+E997</f>
        <v>0</v>
      </c>
      <c r="I997" s="512">
        <f>+J963*G997+E997</f>
        <v>0</v>
      </c>
      <c r="J997" s="509">
        <f t="shared" si="90"/>
        <v>0</v>
      </c>
      <c r="K997" s="509"/>
      <c r="L997" s="513"/>
      <c r="M997" s="509">
        <f t="shared" si="91"/>
        <v>0</v>
      </c>
      <c r="N997" s="513"/>
      <c r="O997" s="509">
        <f t="shared" si="92"/>
        <v>0</v>
      </c>
      <c r="P997" s="509">
        <f t="shared" si="93"/>
        <v>0</v>
      </c>
      <c r="Q997" s="471"/>
    </row>
    <row r="998" spans="3:17">
      <c r="C998" s="505">
        <f>IF(D961="","-",+C997+1)</f>
        <v>2045</v>
      </c>
      <c r="D998" s="469">
        <f t="shared" si="94"/>
        <v>0</v>
      </c>
      <c r="E998" s="511">
        <f t="shared" si="95"/>
        <v>0</v>
      </c>
      <c r="F998" s="511">
        <f t="shared" si="88"/>
        <v>0</v>
      </c>
      <c r="G998" s="469">
        <f t="shared" si="89"/>
        <v>0</v>
      </c>
      <c r="H998" s="506">
        <f>+J962*G998+E998</f>
        <v>0</v>
      </c>
      <c r="I998" s="512">
        <f>+J963*G998+E998</f>
        <v>0</v>
      </c>
      <c r="J998" s="509">
        <f t="shared" si="90"/>
        <v>0</v>
      </c>
      <c r="K998" s="509"/>
      <c r="L998" s="513"/>
      <c r="M998" s="509">
        <f t="shared" si="91"/>
        <v>0</v>
      </c>
      <c r="N998" s="513"/>
      <c r="O998" s="509">
        <f t="shared" si="92"/>
        <v>0</v>
      </c>
      <c r="P998" s="509">
        <f t="shared" si="93"/>
        <v>0</v>
      </c>
      <c r="Q998" s="471"/>
    </row>
    <row r="999" spans="3:17">
      <c r="C999" s="505">
        <f>IF(D961="","-",+C998+1)</f>
        <v>2046</v>
      </c>
      <c r="D999" s="469">
        <f t="shared" si="94"/>
        <v>0</v>
      </c>
      <c r="E999" s="511">
        <f t="shared" si="95"/>
        <v>0</v>
      </c>
      <c r="F999" s="511">
        <f t="shared" si="88"/>
        <v>0</v>
      </c>
      <c r="G999" s="469">
        <f t="shared" si="89"/>
        <v>0</v>
      </c>
      <c r="H999" s="506">
        <f>+J962*G999+E999</f>
        <v>0</v>
      </c>
      <c r="I999" s="512">
        <f>+J963*G999+E999</f>
        <v>0</v>
      </c>
      <c r="J999" s="509">
        <f t="shared" si="90"/>
        <v>0</v>
      </c>
      <c r="K999" s="509"/>
      <c r="L999" s="513"/>
      <c r="M999" s="509">
        <f t="shared" si="91"/>
        <v>0</v>
      </c>
      <c r="N999" s="513"/>
      <c r="O999" s="509">
        <f t="shared" si="92"/>
        <v>0</v>
      </c>
      <c r="P999" s="509">
        <f t="shared" si="93"/>
        <v>0</v>
      </c>
      <c r="Q999" s="471"/>
    </row>
    <row r="1000" spans="3:17">
      <c r="C1000" s="505">
        <f>IF(D961="","-",+C999+1)</f>
        <v>2047</v>
      </c>
      <c r="D1000" s="469">
        <f t="shared" si="94"/>
        <v>0</v>
      </c>
      <c r="E1000" s="511">
        <f t="shared" si="95"/>
        <v>0</v>
      </c>
      <c r="F1000" s="511">
        <f t="shared" si="88"/>
        <v>0</v>
      </c>
      <c r="G1000" s="469">
        <f t="shared" si="89"/>
        <v>0</v>
      </c>
      <c r="H1000" s="506">
        <f>+J962*G1000+E1000</f>
        <v>0</v>
      </c>
      <c r="I1000" s="512">
        <f>+J963*G1000+E1000</f>
        <v>0</v>
      </c>
      <c r="J1000" s="509">
        <f t="shared" si="90"/>
        <v>0</v>
      </c>
      <c r="K1000" s="509"/>
      <c r="L1000" s="513"/>
      <c r="M1000" s="509">
        <f t="shared" si="91"/>
        <v>0</v>
      </c>
      <c r="N1000" s="513"/>
      <c r="O1000" s="509">
        <f t="shared" si="92"/>
        <v>0</v>
      </c>
      <c r="P1000" s="509">
        <f t="shared" si="93"/>
        <v>0</v>
      </c>
      <c r="Q1000" s="471"/>
    </row>
    <row r="1001" spans="3:17">
      <c r="C1001" s="505">
        <f>IF(D961="","-",+C1000+1)</f>
        <v>2048</v>
      </c>
      <c r="D1001" s="469">
        <f t="shared" si="94"/>
        <v>0</v>
      </c>
      <c r="E1001" s="511">
        <f t="shared" si="95"/>
        <v>0</v>
      </c>
      <c r="F1001" s="511">
        <f t="shared" si="88"/>
        <v>0</v>
      </c>
      <c r="G1001" s="469">
        <f t="shared" si="89"/>
        <v>0</v>
      </c>
      <c r="H1001" s="506">
        <f>+J962*G1001+E1001</f>
        <v>0</v>
      </c>
      <c r="I1001" s="512">
        <f>+J963*G1001+E1001</f>
        <v>0</v>
      </c>
      <c r="J1001" s="509">
        <f t="shared" si="90"/>
        <v>0</v>
      </c>
      <c r="K1001" s="509"/>
      <c r="L1001" s="513"/>
      <c r="M1001" s="509">
        <f t="shared" si="91"/>
        <v>0</v>
      </c>
      <c r="N1001" s="513"/>
      <c r="O1001" s="509">
        <f t="shared" si="92"/>
        <v>0</v>
      </c>
      <c r="P1001" s="509">
        <f t="shared" si="93"/>
        <v>0</v>
      </c>
      <c r="Q1001" s="471"/>
    </row>
    <row r="1002" spans="3:17">
      <c r="C1002" s="505">
        <f>IF(D961="","-",+C1001+1)</f>
        <v>2049</v>
      </c>
      <c r="D1002" s="469">
        <f t="shared" si="94"/>
        <v>0</v>
      </c>
      <c r="E1002" s="511">
        <f t="shared" si="95"/>
        <v>0</v>
      </c>
      <c r="F1002" s="511">
        <f t="shared" si="88"/>
        <v>0</v>
      </c>
      <c r="G1002" s="469">
        <f t="shared" si="89"/>
        <v>0</v>
      </c>
      <c r="H1002" s="506">
        <f>+J962*G1002+E1002</f>
        <v>0</v>
      </c>
      <c r="I1002" s="512">
        <f>+J963*G1002+E1002</f>
        <v>0</v>
      </c>
      <c r="J1002" s="509">
        <f t="shared" si="90"/>
        <v>0</v>
      </c>
      <c r="K1002" s="509"/>
      <c r="L1002" s="513"/>
      <c r="M1002" s="509">
        <f t="shared" si="91"/>
        <v>0</v>
      </c>
      <c r="N1002" s="513"/>
      <c r="O1002" s="509">
        <f t="shared" si="92"/>
        <v>0</v>
      </c>
      <c r="P1002" s="509">
        <f t="shared" si="93"/>
        <v>0</v>
      </c>
      <c r="Q1002" s="471"/>
    </row>
    <row r="1003" spans="3:17">
      <c r="C1003" s="505">
        <f>IF(D961="","-",+C1002+1)</f>
        <v>2050</v>
      </c>
      <c r="D1003" s="469">
        <f t="shared" si="94"/>
        <v>0</v>
      </c>
      <c r="E1003" s="511">
        <f t="shared" si="95"/>
        <v>0</v>
      </c>
      <c r="F1003" s="511">
        <f t="shared" si="88"/>
        <v>0</v>
      </c>
      <c r="G1003" s="469">
        <f t="shared" si="89"/>
        <v>0</v>
      </c>
      <c r="H1003" s="506">
        <f>+J962*G1003+E1003</f>
        <v>0</v>
      </c>
      <c r="I1003" s="512">
        <f>+J963*G1003+E1003</f>
        <v>0</v>
      </c>
      <c r="J1003" s="509">
        <f t="shared" si="90"/>
        <v>0</v>
      </c>
      <c r="K1003" s="509"/>
      <c r="L1003" s="513"/>
      <c r="M1003" s="509">
        <f t="shared" si="91"/>
        <v>0</v>
      </c>
      <c r="N1003" s="513"/>
      <c r="O1003" s="509">
        <f t="shared" si="92"/>
        <v>0</v>
      </c>
      <c r="P1003" s="509">
        <f t="shared" si="93"/>
        <v>0</v>
      </c>
      <c r="Q1003" s="471"/>
    </row>
    <row r="1004" spans="3:17">
      <c r="C1004" s="505">
        <f>IF(D961="","-",+C1003+1)</f>
        <v>2051</v>
      </c>
      <c r="D1004" s="469">
        <f t="shared" si="94"/>
        <v>0</v>
      </c>
      <c r="E1004" s="511">
        <f t="shared" si="95"/>
        <v>0</v>
      </c>
      <c r="F1004" s="511">
        <f t="shared" si="88"/>
        <v>0</v>
      </c>
      <c r="G1004" s="469">
        <f t="shared" si="89"/>
        <v>0</v>
      </c>
      <c r="H1004" s="506">
        <f>+J962*G1004+E1004</f>
        <v>0</v>
      </c>
      <c r="I1004" s="512">
        <f>+J963*G1004+E1004</f>
        <v>0</v>
      </c>
      <c r="J1004" s="509">
        <f t="shared" si="90"/>
        <v>0</v>
      </c>
      <c r="K1004" s="509"/>
      <c r="L1004" s="513"/>
      <c r="M1004" s="509">
        <f t="shared" si="91"/>
        <v>0</v>
      </c>
      <c r="N1004" s="513"/>
      <c r="O1004" s="509">
        <f t="shared" si="92"/>
        <v>0</v>
      </c>
      <c r="P1004" s="509">
        <f t="shared" si="93"/>
        <v>0</v>
      </c>
      <c r="Q1004" s="471"/>
    </row>
    <row r="1005" spans="3:17">
      <c r="C1005" s="505">
        <f>IF(D961="","-",+C1004+1)</f>
        <v>2052</v>
      </c>
      <c r="D1005" s="469">
        <f t="shared" si="94"/>
        <v>0</v>
      </c>
      <c r="E1005" s="511">
        <f t="shared" si="95"/>
        <v>0</v>
      </c>
      <c r="F1005" s="511">
        <f t="shared" si="88"/>
        <v>0</v>
      </c>
      <c r="G1005" s="469">
        <f t="shared" si="89"/>
        <v>0</v>
      </c>
      <c r="H1005" s="506">
        <f>+J962*G1005+E1005</f>
        <v>0</v>
      </c>
      <c r="I1005" s="512">
        <f>+J963*G1005+E1005</f>
        <v>0</v>
      </c>
      <c r="J1005" s="509">
        <f t="shared" si="90"/>
        <v>0</v>
      </c>
      <c r="K1005" s="509"/>
      <c r="L1005" s="513"/>
      <c r="M1005" s="509">
        <f t="shared" si="91"/>
        <v>0</v>
      </c>
      <c r="N1005" s="513"/>
      <c r="O1005" s="509">
        <f t="shared" si="92"/>
        <v>0</v>
      </c>
      <c r="P1005" s="509">
        <f t="shared" si="93"/>
        <v>0</v>
      </c>
      <c r="Q1005" s="471"/>
    </row>
    <row r="1006" spans="3:17">
      <c r="C1006" s="505">
        <f>IF(D961="","-",+C1005+1)</f>
        <v>2053</v>
      </c>
      <c r="D1006" s="469">
        <f t="shared" si="94"/>
        <v>0</v>
      </c>
      <c r="E1006" s="511">
        <f t="shared" si="95"/>
        <v>0</v>
      </c>
      <c r="F1006" s="511">
        <f t="shared" si="88"/>
        <v>0</v>
      </c>
      <c r="G1006" s="469">
        <f t="shared" si="89"/>
        <v>0</v>
      </c>
      <c r="H1006" s="506">
        <f>+J962*G1006+E1006</f>
        <v>0</v>
      </c>
      <c r="I1006" s="512">
        <f>+J963*G1006+E1006</f>
        <v>0</v>
      </c>
      <c r="J1006" s="509">
        <f t="shared" si="90"/>
        <v>0</v>
      </c>
      <c r="K1006" s="509"/>
      <c r="L1006" s="513"/>
      <c r="M1006" s="509">
        <f t="shared" si="91"/>
        <v>0</v>
      </c>
      <c r="N1006" s="513"/>
      <c r="O1006" s="509">
        <f t="shared" si="92"/>
        <v>0</v>
      </c>
      <c r="P1006" s="509">
        <f t="shared" si="93"/>
        <v>0</v>
      </c>
      <c r="Q1006" s="471"/>
    </row>
    <row r="1007" spans="3:17">
      <c r="C1007" s="505">
        <f>IF(D961="","-",+C1006+1)</f>
        <v>2054</v>
      </c>
      <c r="D1007" s="469">
        <f t="shared" si="94"/>
        <v>0</v>
      </c>
      <c r="E1007" s="511">
        <f t="shared" si="95"/>
        <v>0</v>
      </c>
      <c r="F1007" s="511">
        <f t="shared" si="88"/>
        <v>0</v>
      </c>
      <c r="G1007" s="469">
        <f t="shared" si="89"/>
        <v>0</v>
      </c>
      <c r="H1007" s="506">
        <f>+J962*G1007+E1007</f>
        <v>0</v>
      </c>
      <c r="I1007" s="512">
        <f>+J963*G1007+E1007</f>
        <v>0</v>
      </c>
      <c r="J1007" s="509">
        <f t="shared" si="90"/>
        <v>0</v>
      </c>
      <c r="K1007" s="509"/>
      <c r="L1007" s="513"/>
      <c r="M1007" s="509">
        <f t="shared" si="91"/>
        <v>0</v>
      </c>
      <c r="N1007" s="513"/>
      <c r="O1007" s="509">
        <f t="shared" si="92"/>
        <v>0</v>
      </c>
      <c r="P1007" s="509">
        <f t="shared" si="93"/>
        <v>0</v>
      </c>
      <c r="Q1007" s="471"/>
    </row>
    <row r="1008" spans="3:17">
      <c r="C1008" s="505">
        <f>IF(D961="","-",+C1007+1)</f>
        <v>2055</v>
      </c>
      <c r="D1008" s="469">
        <f t="shared" si="94"/>
        <v>0</v>
      </c>
      <c r="E1008" s="511">
        <f t="shared" si="95"/>
        <v>0</v>
      </c>
      <c r="F1008" s="511">
        <f t="shared" si="88"/>
        <v>0</v>
      </c>
      <c r="G1008" s="469">
        <f t="shared" si="89"/>
        <v>0</v>
      </c>
      <c r="H1008" s="506">
        <f>+J962*G1008+E1008</f>
        <v>0</v>
      </c>
      <c r="I1008" s="512">
        <f>+J963*G1008+E1008</f>
        <v>0</v>
      </c>
      <c r="J1008" s="509">
        <f t="shared" si="90"/>
        <v>0</v>
      </c>
      <c r="K1008" s="509"/>
      <c r="L1008" s="513"/>
      <c r="M1008" s="509">
        <f t="shared" si="91"/>
        <v>0</v>
      </c>
      <c r="N1008" s="513"/>
      <c r="O1008" s="509">
        <f t="shared" si="92"/>
        <v>0</v>
      </c>
      <c r="P1008" s="509">
        <f t="shared" si="93"/>
        <v>0</v>
      </c>
      <c r="Q1008" s="471"/>
    </row>
    <row r="1009" spans="3:17">
      <c r="C1009" s="505">
        <f>IF(D961="","-",+C1008+1)</f>
        <v>2056</v>
      </c>
      <c r="D1009" s="469">
        <f t="shared" si="94"/>
        <v>0</v>
      </c>
      <c r="E1009" s="511">
        <f t="shared" si="95"/>
        <v>0</v>
      </c>
      <c r="F1009" s="511">
        <f t="shared" si="88"/>
        <v>0</v>
      </c>
      <c r="G1009" s="469">
        <f t="shared" si="89"/>
        <v>0</v>
      </c>
      <c r="H1009" s="506">
        <f>+J962*G1009+E1009</f>
        <v>0</v>
      </c>
      <c r="I1009" s="512">
        <f>+J963*G1009+E1009</f>
        <v>0</v>
      </c>
      <c r="J1009" s="509">
        <f t="shared" si="90"/>
        <v>0</v>
      </c>
      <c r="K1009" s="509"/>
      <c r="L1009" s="513"/>
      <c r="M1009" s="509">
        <f t="shared" si="91"/>
        <v>0</v>
      </c>
      <c r="N1009" s="513"/>
      <c r="O1009" s="509">
        <f t="shared" si="92"/>
        <v>0</v>
      </c>
      <c r="P1009" s="509">
        <f t="shared" si="93"/>
        <v>0</v>
      </c>
      <c r="Q1009" s="471"/>
    </row>
    <row r="1010" spans="3:17">
      <c r="C1010" s="505">
        <f>IF(D961="","-",+C1009+1)</f>
        <v>2057</v>
      </c>
      <c r="D1010" s="469">
        <f t="shared" si="94"/>
        <v>0</v>
      </c>
      <c r="E1010" s="511">
        <f t="shared" si="95"/>
        <v>0</v>
      </c>
      <c r="F1010" s="511">
        <f t="shared" si="88"/>
        <v>0</v>
      </c>
      <c r="G1010" s="469">
        <f t="shared" si="89"/>
        <v>0</v>
      </c>
      <c r="H1010" s="506">
        <f>+J962*G1010+E1010</f>
        <v>0</v>
      </c>
      <c r="I1010" s="512">
        <f>+J963*G1010+E1010</f>
        <v>0</v>
      </c>
      <c r="J1010" s="509">
        <f t="shared" si="90"/>
        <v>0</v>
      </c>
      <c r="K1010" s="509"/>
      <c r="L1010" s="513"/>
      <c r="M1010" s="509">
        <f t="shared" si="91"/>
        <v>0</v>
      </c>
      <c r="N1010" s="513"/>
      <c r="O1010" s="509">
        <f t="shared" si="92"/>
        <v>0</v>
      </c>
      <c r="P1010" s="509">
        <f t="shared" si="93"/>
        <v>0</v>
      </c>
      <c r="Q1010" s="471"/>
    </row>
    <row r="1011" spans="3:17">
      <c r="C1011" s="505">
        <f>IF(D961="","-",+C1010+1)</f>
        <v>2058</v>
      </c>
      <c r="D1011" s="469">
        <f t="shared" si="94"/>
        <v>0</v>
      </c>
      <c r="E1011" s="511">
        <f t="shared" si="95"/>
        <v>0</v>
      </c>
      <c r="F1011" s="511">
        <f t="shared" si="88"/>
        <v>0</v>
      </c>
      <c r="G1011" s="469">
        <f t="shared" si="89"/>
        <v>0</v>
      </c>
      <c r="H1011" s="506">
        <f>+J962*G1011+E1011</f>
        <v>0</v>
      </c>
      <c r="I1011" s="512">
        <f>+J963*G1011+E1011</f>
        <v>0</v>
      </c>
      <c r="J1011" s="509">
        <f t="shared" si="90"/>
        <v>0</v>
      </c>
      <c r="K1011" s="509"/>
      <c r="L1011" s="513"/>
      <c r="M1011" s="509">
        <f t="shared" si="91"/>
        <v>0</v>
      </c>
      <c r="N1011" s="513"/>
      <c r="O1011" s="509">
        <f t="shared" si="92"/>
        <v>0</v>
      </c>
      <c r="P1011" s="509">
        <f t="shared" si="93"/>
        <v>0</v>
      </c>
      <c r="Q1011" s="471"/>
    </row>
    <row r="1012" spans="3:17">
      <c r="C1012" s="505">
        <f>IF(D961="","-",+C1011+1)</f>
        <v>2059</v>
      </c>
      <c r="D1012" s="469">
        <f t="shared" si="94"/>
        <v>0</v>
      </c>
      <c r="E1012" s="511">
        <f t="shared" si="95"/>
        <v>0</v>
      </c>
      <c r="F1012" s="511">
        <f t="shared" si="88"/>
        <v>0</v>
      </c>
      <c r="G1012" s="469">
        <f t="shared" si="89"/>
        <v>0</v>
      </c>
      <c r="H1012" s="506">
        <f>+J962*G1012+E1012</f>
        <v>0</v>
      </c>
      <c r="I1012" s="512">
        <f>+J963*G1012+E1012</f>
        <v>0</v>
      </c>
      <c r="J1012" s="509">
        <f t="shared" si="90"/>
        <v>0</v>
      </c>
      <c r="K1012" s="509"/>
      <c r="L1012" s="513"/>
      <c r="M1012" s="509">
        <f t="shared" si="91"/>
        <v>0</v>
      </c>
      <c r="N1012" s="513"/>
      <c r="O1012" s="509">
        <f t="shared" si="92"/>
        <v>0</v>
      </c>
      <c r="P1012" s="509">
        <f t="shared" si="93"/>
        <v>0</v>
      </c>
      <c r="Q1012" s="471"/>
    </row>
    <row r="1013" spans="3:17">
      <c r="C1013" s="505">
        <f>IF(D961="","-",+C1012+1)</f>
        <v>2060</v>
      </c>
      <c r="D1013" s="469">
        <f t="shared" si="94"/>
        <v>0</v>
      </c>
      <c r="E1013" s="511">
        <f t="shared" si="95"/>
        <v>0</v>
      </c>
      <c r="F1013" s="511">
        <f t="shared" si="88"/>
        <v>0</v>
      </c>
      <c r="G1013" s="469">
        <f t="shared" si="89"/>
        <v>0</v>
      </c>
      <c r="H1013" s="506">
        <f>+J962*G1013+E1013</f>
        <v>0</v>
      </c>
      <c r="I1013" s="512">
        <f>+J963*G1013+E1013</f>
        <v>0</v>
      </c>
      <c r="J1013" s="509">
        <f t="shared" si="90"/>
        <v>0</v>
      </c>
      <c r="K1013" s="509"/>
      <c r="L1013" s="513"/>
      <c r="M1013" s="509">
        <f t="shared" si="91"/>
        <v>0</v>
      </c>
      <c r="N1013" s="513"/>
      <c r="O1013" s="509">
        <f t="shared" si="92"/>
        <v>0</v>
      </c>
      <c r="P1013" s="509">
        <f t="shared" si="93"/>
        <v>0</v>
      </c>
      <c r="Q1013" s="471"/>
    </row>
    <row r="1014" spans="3:17">
      <c r="C1014" s="505">
        <f>IF(D961="","-",+C1013+1)</f>
        <v>2061</v>
      </c>
      <c r="D1014" s="469">
        <f t="shared" si="94"/>
        <v>0</v>
      </c>
      <c r="E1014" s="511">
        <f t="shared" si="95"/>
        <v>0</v>
      </c>
      <c r="F1014" s="511">
        <f t="shared" si="88"/>
        <v>0</v>
      </c>
      <c r="G1014" s="469">
        <f t="shared" si="89"/>
        <v>0</v>
      </c>
      <c r="H1014" s="506">
        <f>+J962*G1014+E1014</f>
        <v>0</v>
      </c>
      <c r="I1014" s="512">
        <f>+J963*G1014+E1014</f>
        <v>0</v>
      </c>
      <c r="J1014" s="509">
        <f t="shared" si="90"/>
        <v>0</v>
      </c>
      <c r="K1014" s="509"/>
      <c r="L1014" s="513"/>
      <c r="M1014" s="509">
        <f t="shared" si="91"/>
        <v>0</v>
      </c>
      <c r="N1014" s="513"/>
      <c r="O1014" s="509">
        <f t="shared" si="92"/>
        <v>0</v>
      </c>
      <c r="P1014" s="509">
        <f t="shared" si="93"/>
        <v>0</v>
      </c>
      <c r="Q1014" s="471"/>
    </row>
    <row r="1015" spans="3:17">
      <c r="C1015" s="505">
        <f>IF(D961="","-",+C1014+1)</f>
        <v>2062</v>
      </c>
      <c r="D1015" s="469">
        <f t="shared" si="94"/>
        <v>0</v>
      </c>
      <c r="E1015" s="511">
        <f t="shared" si="95"/>
        <v>0</v>
      </c>
      <c r="F1015" s="511">
        <f t="shared" si="88"/>
        <v>0</v>
      </c>
      <c r="G1015" s="469">
        <f t="shared" si="89"/>
        <v>0</v>
      </c>
      <c r="H1015" s="506">
        <f>+J962*G1015+E1015</f>
        <v>0</v>
      </c>
      <c r="I1015" s="512">
        <f>+J963*G1015+E1015</f>
        <v>0</v>
      </c>
      <c r="J1015" s="509">
        <f t="shared" si="90"/>
        <v>0</v>
      </c>
      <c r="K1015" s="509"/>
      <c r="L1015" s="513"/>
      <c r="M1015" s="509">
        <f t="shared" si="91"/>
        <v>0</v>
      </c>
      <c r="N1015" s="513"/>
      <c r="O1015" s="509">
        <f t="shared" si="92"/>
        <v>0</v>
      </c>
      <c r="P1015" s="509">
        <f t="shared" si="93"/>
        <v>0</v>
      </c>
      <c r="Q1015" s="471"/>
    </row>
    <row r="1016" spans="3:17">
      <c r="C1016" s="505">
        <f>IF(D961="","-",+C1015+1)</f>
        <v>2063</v>
      </c>
      <c r="D1016" s="469">
        <f t="shared" si="94"/>
        <v>0</v>
      </c>
      <c r="E1016" s="511">
        <f t="shared" si="95"/>
        <v>0</v>
      </c>
      <c r="F1016" s="511">
        <f t="shared" si="88"/>
        <v>0</v>
      </c>
      <c r="G1016" s="469">
        <f t="shared" si="89"/>
        <v>0</v>
      </c>
      <c r="H1016" s="506">
        <f>+J962*G1016+E1016</f>
        <v>0</v>
      </c>
      <c r="I1016" s="512">
        <f>+J963*G1016+E1016</f>
        <v>0</v>
      </c>
      <c r="J1016" s="509">
        <f t="shared" si="90"/>
        <v>0</v>
      </c>
      <c r="K1016" s="509"/>
      <c r="L1016" s="513"/>
      <c r="M1016" s="509">
        <f t="shared" si="91"/>
        <v>0</v>
      </c>
      <c r="N1016" s="513"/>
      <c r="O1016" s="509">
        <f t="shared" si="92"/>
        <v>0</v>
      </c>
      <c r="P1016" s="509">
        <f t="shared" si="93"/>
        <v>0</v>
      </c>
      <c r="Q1016" s="471"/>
    </row>
    <row r="1017" spans="3:17">
      <c r="C1017" s="505">
        <f>IF(D961="","-",+C1016+1)</f>
        <v>2064</v>
      </c>
      <c r="D1017" s="469">
        <f t="shared" si="94"/>
        <v>0</v>
      </c>
      <c r="E1017" s="511">
        <f t="shared" si="95"/>
        <v>0</v>
      </c>
      <c r="F1017" s="511">
        <f t="shared" si="88"/>
        <v>0</v>
      </c>
      <c r="G1017" s="469">
        <f t="shared" si="89"/>
        <v>0</v>
      </c>
      <c r="H1017" s="506">
        <f>+J962*G1017+E1017</f>
        <v>0</v>
      </c>
      <c r="I1017" s="512">
        <f>+J963*G1017+E1017</f>
        <v>0</v>
      </c>
      <c r="J1017" s="509">
        <f t="shared" si="90"/>
        <v>0</v>
      </c>
      <c r="K1017" s="509"/>
      <c r="L1017" s="513"/>
      <c r="M1017" s="509">
        <f t="shared" si="91"/>
        <v>0</v>
      </c>
      <c r="N1017" s="513"/>
      <c r="O1017" s="509">
        <f t="shared" si="92"/>
        <v>0</v>
      </c>
      <c r="P1017" s="509">
        <f t="shared" si="93"/>
        <v>0</v>
      </c>
      <c r="Q1017" s="471"/>
    </row>
    <row r="1018" spans="3:17">
      <c r="C1018" s="505">
        <f>IF(D961="","-",+C1017+1)</f>
        <v>2065</v>
      </c>
      <c r="D1018" s="469">
        <f t="shared" si="94"/>
        <v>0</v>
      </c>
      <c r="E1018" s="511">
        <f t="shared" si="95"/>
        <v>0</v>
      </c>
      <c r="F1018" s="511">
        <f t="shared" si="88"/>
        <v>0</v>
      </c>
      <c r="G1018" s="469">
        <f t="shared" si="89"/>
        <v>0</v>
      </c>
      <c r="H1018" s="506">
        <f>+J962*G1018+E1018</f>
        <v>0</v>
      </c>
      <c r="I1018" s="512">
        <f>+J963*G1018+E1018</f>
        <v>0</v>
      </c>
      <c r="J1018" s="509">
        <f t="shared" si="90"/>
        <v>0</v>
      </c>
      <c r="K1018" s="509"/>
      <c r="L1018" s="513"/>
      <c r="M1018" s="509">
        <f t="shared" si="91"/>
        <v>0</v>
      </c>
      <c r="N1018" s="513"/>
      <c r="O1018" s="509">
        <f t="shared" si="92"/>
        <v>0</v>
      </c>
      <c r="P1018" s="509">
        <f t="shared" si="93"/>
        <v>0</v>
      </c>
      <c r="Q1018" s="471"/>
    </row>
    <row r="1019" spans="3:17">
      <c r="C1019" s="505">
        <f>IF(D961="","-",+C1018+1)</f>
        <v>2066</v>
      </c>
      <c r="D1019" s="469">
        <f t="shared" si="94"/>
        <v>0</v>
      </c>
      <c r="E1019" s="511">
        <f t="shared" si="95"/>
        <v>0</v>
      </c>
      <c r="F1019" s="511">
        <f t="shared" si="88"/>
        <v>0</v>
      </c>
      <c r="G1019" s="469">
        <f t="shared" si="89"/>
        <v>0</v>
      </c>
      <c r="H1019" s="506">
        <f>+J962*G1019+E1019</f>
        <v>0</v>
      </c>
      <c r="I1019" s="512">
        <f>+J963*G1019+E1019</f>
        <v>0</v>
      </c>
      <c r="J1019" s="509">
        <f t="shared" si="90"/>
        <v>0</v>
      </c>
      <c r="K1019" s="509"/>
      <c r="L1019" s="513"/>
      <c r="M1019" s="509">
        <f t="shared" si="91"/>
        <v>0</v>
      </c>
      <c r="N1019" s="513"/>
      <c r="O1019" s="509">
        <f t="shared" si="92"/>
        <v>0</v>
      </c>
      <c r="P1019" s="509">
        <f t="shared" si="93"/>
        <v>0</v>
      </c>
      <c r="Q1019" s="471"/>
    </row>
    <row r="1020" spans="3:17">
      <c r="C1020" s="505">
        <f>IF(D961="","-",+C1019+1)</f>
        <v>2067</v>
      </c>
      <c r="D1020" s="469">
        <f t="shared" si="94"/>
        <v>0</v>
      </c>
      <c r="E1020" s="511">
        <f t="shared" si="95"/>
        <v>0</v>
      </c>
      <c r="F1020" s="511">
        <f t="shared" si="88"/>
        <v>0</v>
      </c>
      <c r="G1020" s="469">
        <f t="shared" si="89"/>
        <v>0</v>
      </c>
      <c r="H1020" s="506">
        <f>+J962*G1020+E1020</f>
        <v>0</v>
      </c>
      <c r="I1020" s="512">
        <f>+J963*G1020+E1020</f>
        <v>0</v>
      </c>
      <c r="J1020" s="509">
        <f t="shared" si="90"/>
        <v>0</v>
      </c>
      <c r="K1020" s="509"/>
      <c r="L1020" s="513"/>
      <c r="M1020" s="509">
        <f t="shared" si="91"/>
        <v>0</v>
      </c>
      <c r="N1020" s="513"/>
      <c r="O1020" s="509">
        <f t="shared" si="92"/>
        <v>0</v>
      </c>
      <c r="P1020" s="509">
        <f t="shared" si="93"/>
        <v>0</v>
      </c>
      <c r="Q1020" s="471"/>
    </row>
    <row r="1021" spans="3:17">
      <c r="C1021" s="505">
        <f>IF(D961="","-",+C1020+1)</f>
        <v>2068</v>
      </c>
      <c r="D1021" s="469">
        <f t="shared" si="94"/>
        <v>0</v>
      </c>
      <c r="E1021" s="511">
        <f t="shared" si="95"/>
        <v>0</v>
      </c>
      <c r="F1021" s="511">
        <f t="shared" si="88"/>
        <v>0</v>
      </c>
      <c r="G1021" s="469">
        <f t="shared" si="89"/>
        <v>0</v>
      </c>
      <c r="H1021" s="506">
        <f>+J962*G1021+E1021</f>
        <v>0</v>
      </c>
      <c r="I1021" s="512">
        <f>+J963*G1021+E1021</f>
        <v>0</v>
      </c>
      <c r="J1021" s="509">
        <f t="shared" si="90"/>
        <v>0</v>
      </c>
      <c r="K1021" s="509"/>
      <c r="L1021" s="513"/>
      <c r="M1021" s="509">
        <f t="shared" si="91"/>
        <v>0</v>
      </c>
      <c r="N1021" s="513"/>
      <c r="O1021" s="509">
        <f t="shared" si="92"/>
        <v>0</v>
      </c>
      <c r="P1021" s="509">
        <f t="shared" si="93"/>
        <v>0</v>
      </c>
      <c r="Q1021" s="471"/>
    </row>
    <row r="1022" spans="3:17">
      <c r="C1022" s="505">
        <f>IF(D961="","-",+C1021+1)</f>
        <v>2069</v>
      </c>
      <c r="D1022" s="469">
        <f t="shared" si="94"/>
        <v>0</v>
      </c>
      <c r="E1022" s="511">
        <f t="shared" si="95"/>
        <v>0</v>
      </c>
      <c r="F1022" s="511">
        <f t="shared" si="88"/>
        <v>0</v>
      </c>
      <c r="G1022" s="469">
        <f t="shared" si="89"/>
        <v>0</v>
      </c>
      <c r="H1022" s="506">
        <f>+J962*G1022+E1022</f>
        <v>0</v>
      </c>
      <c r="I1022" s="512">
        <f>+J963*G1022+E1022</f>
        <v>0</v>
      </c>
      <c r="J1022" s="509">
        <f t="shared" si="90"/>
        <v>0</v>
      </c>
      <c r="K1022" s="509"/>
      <c r="L1022" s="513"/>
      <c r="M1022" s="509">
        <f t="shared" si="91"/>
        <v>0</v>
      </c>
      <c r="N1022" s="513"/>
      <c r="O1022" s="509">
        <f t="shared" si="92"/>
        <v>0</v>
      </c>
      <c r="P1022" s="509">
        <f t="shared" si="93"/>
        <v>0</v>
      </c>
      <c r="Q1022" s="471"/>
    </row>
    <row r="1023" spans="3:17">
      <c r="C1023" s="505">
        <f>IF(D961="","-",+C1022+1)</f>
        <v>2070</v>
      </c>
      <c r="D1023" s="469">
        <f t="shared" si="94"/>
        <v>0</v>
      </c>
      <c r="E1023" s="511">
        <f t="shared" si="95"/>
        <v>0</v>
      </c>
      <c r="F1023" s="511">
        <f t="shared" si="88"/>
        <v>0</v>
      </c>
      <c r="G1023" s="469">
        <f t="shared" si="89"/>
        <v>0</v>
      </c>
      <c r="H1023" s="506">
        <f>+J962*G1023+E1023</f>
        <v>0</v>
      </c>
      <c r="I1023" s="512">
        <f>+J963*G1023+E1023</f>
        <v>0</v>
      </c>
      <c r="J1023" s="509">
        <f t="shared" si="90"/>
        <v>0</v>
      </c>
      <c r="K1023" s="509"/>
      <c r="L1023" s="513"/>
      <c r="M1023" s="509">
        <f t="shared" si="91"/>
        <v>0</v>
      </c>
      <c r="N1023" s="513"/>
      <c r="O1023" s="509">
        <f t="shared" si="92"/>
        <v>0</v>
      </c>
      <c r="P1023" s="509">
        <f t="shared" si="93"/>
        <v>0</v>
      </c>
      <c r="Q1023" s="471"/>
    </row>
    <row r="1024" spans="3:17">
      <c r="C1024" s="505">
        <f>IF(D961="","-",+C1023+1)</f>
        <v>2071</v>
      </c>
      <c r="D1024" s="469">
        <f t="shared" si="94"/>
        <v>0</v>
      </c>
      <c r="E1024" s="511">
        <f t="shared" si="95"/>
        <v>0</v>
      </c>
      <c r="F1024" s="511">
        <f t="shared" si="88"/>
        <v>0</v>
      </c>
      <c r="G1024" s="469">
        <f t="shared" si="89"/>
        <v>0</v>
      </c>
      <c r="H1024" s="506">
        <f>+J962*G1024+E1024</f>
        <v>0</v>
      </c>
      <c r="I1024" s="512">
        <f>+J963*G1024+E1024</f>
        <v>0</v>
      </c>
      <c r="J1024" s="509">
        <f t="shared" si="90"/>
        <v>0</v>
      </c>
      <c r="K1024" s="509"/>
      <c r="L1024" s="513"/>
      <c r="M1024" s="509">
        <f t="shared" si="91"/>
        <v>0</v>
      </c>
      <c r="N1024" s="513"/>
      <c r="O1024" s="509">
        <f t="shared" si="92"/>
        <v>0</v>
      </c>
      <c r="P1024" s="509">
        <f t="shared" si="93"/>
        <v>0</v>
      </c>
      <c r="Q1024" s="471"/>
    </row>
    <row r="1025" spans="1:17">
      <c r="C1025" s="505">
        <f>IF(D961="","-",+C1024+1)</f>
        <v>2072</v>
      </c>
      <c r="D1025" s="469">
        <f t="shared" si="94"/>
        <v>0</v>
      </c>
      <c r="E1025" s="511">
        <f t="shared" si="95"/>
        <v>0</v>
      </c>
      <c r="F1025" s="511">
        <f t="shared" si="88"/>
        <v>0</v>
      </c>
      <c r="G1025" s="469">
        <f t="shared" si="89"/>
        <v>0</v>
      </c>
      <c r="H1025" s="506">
        <f>+J962*G1025+E1025</f>
        <v>0</v>
      </c>
      <c r="I1025" s="512">
        <f>+J963*G1025+E1025</f>
        <v>0</v>
      </c>
      <c r="J1025" s="509">
        <f t="shared" si="90"/>
        <v>0</v>
      </c>
      <c r="K1025" s="509"/>
      <c r="L1025" s="513"/>
      <c r="M1025" s="509">
        <f t="shared" si="91"/>
        <v>0</v>
      </c>
      <c r="N1025" s="513"/>
      <c r="O1025" s="509">
        <f t="shared" si="92"/>
        <v>0</v>
      </c>
      <c r="P1025" s="509">
        <f t="shared" si="93"/>
        <v>0</v>
      </c>
      <c r="Q1025" s="471"/>
    </row>
    <row r="1026" spans="1:17" ht="13.5" thickBot="1">
      <c r="C1026" s="515">
        <f>IF(D961="","-",+C1025+1)</f>
        <v>2073</v>
      </c>
      <c r="D1026" s="516">
        <f t="shared" si="94"/>
        <v>0</v>
      </c>
      <c r="E1026" s="976">
        <f t="shared" si="95"/>
        <v>0</v>
      </c>
      <c r="F1026" s="517">
        <f t="shared" si="88"/>
        <v>0</v>
      </c>
      <c r="G1026" s="516">
        <f t="shared" si="89"/>
        <v>0</v>
      </c>
      <c r="H1026" s="518">
        <f>+J962*G1026+E1026</f>
        <v>0</v>
      </c>
      <c r="I1026" s="518">
        <f>+J963*G1026+E1026</f>
        <v>0</v>
      </c>
      <c r="J1026" s="519">
        <f t="shared" si="90"/>
        <v>0</v>
      </c>
      <c r="K1026" s="509"/>
      <c r="L1026" s="520"/>
      <c r="M1026" s="519">
        <f t="shared" si="91"/>
        <v>0</v>
      </c>
      <c r="N1026" s="520"/>
      <c r="O1026" s="519">
        <f t="shared" si="92"/>
        <v>0</v>
      </c>
      <c r="P1026" s="519">
        <f t="shared" si="93"/>
        <v>0</v>
      </c>
      <c r="Q1026" s="471"/>
    </row>
    <row r="1027" spans="1:17">
      <c r="C1027" s="469" t="s">
        <v>288</v>
      </c>
      <c r="D1027" s="467"/>
      <c r="E1027" s="467">
        <f>SUM(E967:E1026)</f>
        <v>0</v>
      </c>
      <c r="F1027" s="467"/>
      <c r="G1027" s="467"/>
      <c r="H1027" s="467">
        <f>SUM(H967:H1026)</f>
        <v>0</v>
      </c>
      <c r="I1027" s="467">
        <f>SUM(I967:I1026)</f>
        <v>0</v>
      </c>
      <c r="J1027" s="467">
        <f>SUM(J967:J1026)</f>
        <v>0</v>
      </c>
      <c r="K1027" s="467"/>
      <c r="L1027" s="467"/>
      <c r="M1027" s="467"/>
      <c r="N1027" s="467"/>
      <c r="O1027" s="467"/>
      <c r="Q1027" s="467"/>
    </row>
    <row r="1028" spans="1:17">
      <c r="D1028" s="79"/>
      <c r="E1028" s="4"/>
      <c r="F1028" s="4"/>
      <c r="G1028" s="4"/>
      <c r="H1028" s="4"/>
      <c r="I1028" s="452"/>
      <c r="J1028" s="452"/>
      <c r="K1028" s="467"/>
      <c r="L1028" s="452"/>
      <c r="M1028" s="452"/>
      <c r="N1028" s="452"/>
      <c r="O1028" s="452"/>
      <c r="Q1028" s="467"/>
    </row>
    <row r="1029" spans="1:17">
      <c r="C1029" s="4" t="s">
        <v>595</v>
      </c>
      <c r="D1029" s="79"/>
      <c r="E1029" s="4"/>
      <c r="F1029" s="4"/>
      <c r="G1029" s="4"/>
      <c r="H1029" s="4"/>
      <c r="I1029" s="452"/>
      <c r="J1029" s="452"/>
      <c r="K1029" s="467"/>
      <c r="L1029" s="452"/>
      <c r="M1029" s="452"/>
      <c r="N1029" s="452"/>
      <c r="O1029" s="452"/>
      <c r="Q1029" s="467"/>
    </row>
    <row r="1030" spans="1:17">
      <c r="D1030" s="79"/>
      <c r="E1030" s="4"/>
      <c r="F1030" s="4"/>
      <c r="G1030" s="4"/>
      <c r="H1030" s="4"/>
      <c r="I1030" s="452"/>
      <c r="J1030" s="452"/>
      <c r="K1030" s="467"/>
      <c r="L1030" s="452"/>
      <c r="M1030" s="452"/>
      <c r="N1030" s="452"/>
      <c r="O1030" s="452"/>
      <c r="Q1030" s="467"/>
    </row>
    <row r="1031" spans="1:17">
      <c r="C1031" s="4" t="s">
        <v>596</v>
      </c>
      <c r="D1031" s="469"/>
      <c r="E1031" s="469"/>
      <c r="F1031" s="469"/>
      <c r="G1031" s="469"/>
      <c r="H1031" s="467"/>
      <c r="I1031" s="467"/>
      <c r="J1031" s="471"/>
      <c r="K1031" s="471"/>
      <c r="L1031" s="471"/>
      <c r="M1031" s="471"/>
      <c r="N1031" s="471"/>
      <c r="O1031" s="471"/>
      <c r="Q1031" s="471"/>
    </row>
    <row r="1032" spans="1:17">
      <c r="C1032" s="4" t="s">
        <v>476</v>
      </c>
      <c r="D1032" s="469"/>
      <c r="E1032" s="469"/>
      <c r="F1032" s="469"/>
      <c r="G1032" s="469"/>
      <c r="H1032" s="467"/>
      <c r="I1032" s="467"/>
      <c r="J1032" s="471"/>
      <c r="K1032" s="471"/>
      <c r="L1032" s="471"/>
      <c r="M1032" s="471"/>
      <c r="N1032" s="471"/>
      <c r="O1032" s="471"/>
      <c r="Q1032" s="471"/>
    </row>
    <row r="1033" spans="1:17">
      <c r="C1033" s="4" t="s">
        <v>289</v>
      </c>
      <c r="D1033" s="469"/>
      <c r="E1033" s="469"/>
      <c r="F1033" s="469"/>
      <c r="G1033" s="469"/>
      <c r="H1033" s="467"/>
      <c r="I1033" s="467"/>
      <c r="J1033" s="471"/>
      <c r="K1033" s="471"/>
      <c r="L1033" s="471"/>
      <c r="M1033" s="471"/>
      <c r="N1033" s="471"/>
      <c r="O1033" s="471"/>
      <c r="Q1033" s="471"/>
    </row>
    <row r="1034" spans="1:17" ht="20.25">
      <c r="A1034" s="411" t="s">
        <v>762</v>
      </c>
      <c r="B1034" s="4"/>
      <c r="C1034" s="4"/>
      <c r="D1034" s="79"/>
      <c r="E1034" s="4"/>
      <c r="F1034" s="81"/>
      <c r="G1034" s="81"/>
      <c r="H1034" s="4"/>
      <c r="I1034" s="452"/>
      <c r="L1034" s="11"/>
      <c r="M1034" s="11"/>
      <c r="N1034" s="11"/>
      <c r="O1034" s="11" t="str">
        <f>"Page "&amp;SUM(Q$3:Q1034)&amp;" of "</f>
        <v xml:space="preserve">Page 13 of </v>
      </c>
      <c r="P1034" s="412">
        <f>COUNT(Q$8:Q$58212)</f>
        <v>23</v>
      </c>
      <c r="Q1034" s="539">
        <v>1</v>
      </c>
    </row>
    <row r="1035" spans="1:17">
      <c r="B1035" s="4"/>
      <c r="C1035" s="4"/>
      <c r="D1035" s="79"/>
      <c r="E1035" s="4"/>
      <c r="F1035" s="4"/>
      <c r="G1035" s="4"/>
      <c r="H1035" s="4"/>
      <c r="I1035" s="452"/>
      <c r="J1035" s="4"/>
      <c r="K1035" s="4"/>
    </row>
    <row r="1036" spans="1:17" ht="18">
      <c r="B1036" s="413" t="s">
        <v>174</v>
      </c>
      <c r="C1036" s="472" t="s">
        <v>290</v>
      </c>
      <c r="D1036" s="79"/>
      <c r="E1036" s="4"/>
      <c r="F1036" s="4"/>
      <c r="G1036" s="4"/>
      <c r="H1036" s="4"/>
      <c r="I1036" s="452"/>
      <c r="J1036" s="452"/>
      <c r="K1036" s="467"/>
      <c r="L1036" s="452"/>
      <c r="M1036" s="452"/>
      <c r="N1036" s="452"/>
      <c r="O1036" s="452"/>
      <c r="Q1036" s="467"/>
    </row>
    <row r="1037" spans="1:17" ht="18.75">
      <c r="B1037" s="413"/>
      <c r="C1037" s="13"/>
      <c r="D1037" s="79"/>
      <c r="E1037" s="4"/>
      <c r="F1037" s="4"/>
      <c r="G1037" s="4"/>
      <c r="H1037" s="4"/>
      <c r="I1037" s="452"/>
      <c r="J1037" s="452"/>
      <c r="K1037" s="467"/>
      <c r="L1037" s="452"/>
      <c r="M1037" s="452"/>
      <c r="N1037" s="452"/>
      <c r="O1037" s="452"/>
      <c r="Q1037" s="467"/>
    </row>
    <row r="1038" spans="1:17" ht="18.75">
      <c r="B1038" s="413"/>
      <c r="C1038" s="13" t="s">
        <v>291</v>
      </c>
      <c r="D1038" s="79"/>
      <c r="E1038" s="4"/>
      <c r="F1038" s="4"/>
      <c r="G1038" s="4"/>
      <c r="H1038" s="4"/>
      <c r="I1038" s="452"/>
      <c r="J1038" s="452"/>
      <c r="K1038" s="467"/>
      <c r="L1038" s="452"/>
      <c r="M1038" s="452"/>
      <c r="N1038" s="452"/>
      <c r="O1038" s="452"/>
      <c r="Q1038" s="467"/>
    </row>
    <row r="1039" spans="1:17" ht="15.75" thickBot="1">
      <c r="C1039" s="247"/>
      <c r="D1039" s="79"/>
      <c r="E1039" s="4"/>
      <c r="F1039" s="4"/>
      <c r="G1039" s="4"/>
      <c r="H1039" s="4"/>
      <c r="I1039" s="452"/>
      <c r="J1039" s="452"/>
      <c r="K1039" s="467"/>
      <c r="L1039" s="452"/>
      <c r="M1039" s="452"/>
      <c r="N1039" s="452"/>
      <c r="O1039" s="452"/>
      <c r="Q1039" s="467"/>
    </row>
    <row r="1040" spans="1:17" ht="15.75">
      <c r="C1040" s="414" t="s">
        <v>292</v>
      </c>
      <c r="D1040" s="79"/>
      <c r="E1040" s="4"/>
      <c r="F1040" s="4"/>
      <c r="G1040" s="4"/>
      <c r="H1040" s="635"/>
      <c r="I1040" s="4" t="s">
        <v>271</v>
      </c>
      <c r="J1040" s="4"/>
      <c r="K1040" s="4"/>
      <c r="L1040" s="540">
        <f>+J1046</f>
        <v>2025</v>
      </c>
      <c r="M1040" s="524" t="s">
        <v>254</v>
      </c>
      <c r="N1040" s="524" t="s">
        <v>255</v>
      </c>
      <c r="O1040" s="525" t="s">
        <v>256</v>
      </c>
    </row>
    <row r="1041" spans="1:17" ht="15.75">
      <c r="C1041" s="414"/>
      <c r="D1041" s="79"/>
      <c r="E1041" s="4"/>
      <c r="F1041" s="4"/>
      <c r="H1041" s="4"/>
      <c r="I1041" s="476"/>
      <c r="J1041" s="476"/>
      <c r="K1041" s="477"/>
      <c r="L1041" s="541" t="s">
        <v>455</v>
      </c>
      <c r="M1041" s="542">
        <f>VLOOKUP(J1046,C1053:P1112,10)</f>
        <v>954988.00263858004</v>
      </c>
      <c r="N1041" s="542">
        <f>VLOOKUP(J1046,C1053:P1112,12)</f>
        <v>954988.00263858004</v>
      </c>
      <c r="O1041" s="543">
        <f>+N1041-M1041</f>
        <v>0</v>
      </c>
      <c r="Q1041" s="477"/>
    </row>
    <row r="1042" spans="1:17">
      <c r="C1042" s="479" t="s">
        <v>293</v>
      </c>
      <c r="D1042" s="1276" t="s">
        <v>935</v>
      </c>
      <c r="E1042" s="1276"/>
      <c r="F1042" s="1276"/>
      <c r="G1042" s="1276"/>
      <c r="H1042" s="1276"/>
      <c r="I1042" s="1276"/>
      <c r="J1042" s="452"/>
      <c r="K1042" s="467"/>
      <c r="L1042" s="541" t="s">
        <v>456</v>
      </c>
      <c r="M1042" s="544">
        <f>VLOOKUP(J1046,C1053:P1112,6)</f>
        <v>981410.79422600043</v>
      </c>
      <c r="N1042" s="544">
        <f>VLOOKUP(J1046,C1053:P1112,7)</f>
        <v>981410.79422600043</v>
      </c>
      <c r="O1042" s="545">
        <f>+N1042-M1042</f>
        <v>0</v>
      </c>
      <c r="Q1042" s="467"/>
    </row>
    <row r="1043" spans="1:17" ht="13.5" thickBot="1">
      <c r="C1043" s="481"/>
      <c r="D1043" s="1276" t="s">
        <v>114</v>
      </c>
      <c r="E1043" s="1276"/>
      <c r="F1043" s="1276"/>
      <c r="G1043" s="1276"/>
      <c r="H1043" s="1276"/>
      <c r="I1043" s="1276"/>
      <c r="J1043" s="452"/>
      <c r="K1043" s="467"/>
      <c r="L1043" s="492" t="s">
        <v>457</v>
      </c>
      <c r="M1043" s="546">
        <f>+M1042-M1041</f>
        <v>26422.79158742039</v>
      </c>
      <c r="N1043" s="546">
        <f>+N1042-N1041</f>
        <v>26422.79158742039</v>
      </c>
      <c r="O1043" s="547">
        <f>+O1042-O1041</f>
        <v>0</v>
      </c>
      <c r="Q1043" s="467"/>
    </row>
    <row r="1044" spans="1:17" ht="13.5" thickBot="1">
      <c r="C1044" s="481"/>
      <c r="D1044" s="4"/>
      <c r="E1044" s="483"/>
      <c r="F1044" s="483"/>
      <c r="G1044" s="483"/>
      <c r="H1044" s="483"/>
      <c r="I1044" s="483"/>
      <c r="J1044" s="483"/>
      <c r="K1044" s="483"/>
      <c r="L1044" s="483"/>
      <c r="M1044" s="483"/>
      <c r="N1044" s="483"/>
      <c r="O1044" s="483"/>
      <c r="Q1044" s="483"/>
    </row>
    <row r="1045" spans="1:17" ht="13.5" thickBot="1">
      <c r="C1045" s="484" t="s">
        <v>294</v>
      </c>
      <c r="D1045" s="485"/>
      <c r="E1045" s="485"/>
      <c r="F1045" s="485"/>
      <c r="G1045" s="485"/>
      <c r="H1045" s="485"/>
      <c r="I1045" s="485"/>
      <c r="J1045" s="485"/>
      <c r="Q1045"/>
    </row>
    <row r="1046" spans="1:17" ht="15">
      <c r="A1046" s="977"/>
      <c r="C1046" s="487" t="s">
        <v>272</v>
      </c>
      <c r="D1046" s="926">
        <v>7169897.79</v>
      </c>
      <c r="E1046" s="4" t="s">
        <v>273</v>
      </c>
      <c r="H1046" s="79"/>
      <c r="I1046" s="79"/>
      <c r="J1046" s="488">
        <f>$J$95</f>
        <v>2025</v>
      </c>
      <c r="K1046" s="135"/>
      <c r="L1046" s="1287" t="s">
        <v>274</v>
      </c>
      <c r="M1046" s="1287"/>
      <c r="N1046" s="1287"/>
      <c r="O1046" s="1287"/>
      <c r="Q1046" s="135"/>
    </row>
    <row r="1047" spans="1:17">
      <c r="A1047" s="977"/>
      <c r="C1047" s="487" t="s">
        <v>275</v>
      </c>
      <c r="D1047" s="636">
        <v>2015</v>
      </c>
      <c r="E1047" s="487" t="s">
        <v>276</v>
      </c>
      <c r="F1047" s="79"/>
      <c r="G1047" s="79"/>
      <c r="I1047"/>
      <c r="J1047" s="638">
        <v>0</v>
      </c>
      <c r="K1047" s="489"/>
      <c r="L1047" s="467" t="s">
        <v>475</v>
      </c>
      <c r="Q1047" s="489"/>
    </row>
    <row r="1048" spans="1:17">
      <c r="A1048" s="977"/>
      <c r="C1048" s="487" t="s">
        <v>277</v>
      </c>
      <c r="D1048" s="926">
        <v>2</v>
      </c>
      <c r="E1048" s="487" t="s">
        <v>278</v>
      </c>
      <c r="F1048" s="79"/>
      <c r="G1048" s="79"/>
      <c r="I1048"/>
      <c r="J1048" s="490">
        <f>$F$70</f>
        <v>0.14996626714737105</v>
      </c>
      <c r="K1048" s="81"/>
      <c r="L1048" s="4" t="str">
        <f>"          INPUT TRUE-UP ARR (WITH &amp; WITHOUT INCENTIVES) FROM EACH PRIOR YEAR"</f>
        <v xml:space="preserve">          INPUT TRUE-UP ARR (WITH &amp; WITHOUT INCENTIVES) FROM EACH PRIOR YEAR</v>
      </c>
      <c r="Q1048" s="81"/>
    </row>
    <row r="1049" spans="1:17">
      <c r="A1049" s="977"/>
      <c r="C1049" s="487" t="s">
        <v>279</v>
      </c>
      <c r="D1049" s="491">
        <f>H79</f>
        <v>42</v>
      </c>
      <c r="E1049" s="487" t="s">
        <v>280</v>
      </c>
      <c r="F1049" s="79"/>
      <c r="G1049" s="79"/>
      <c r="I1049"/>
      <c r="J1049" s="490">
        <f>IF(H1040="",J1048,$F$69)</f>
        <v>0.14996626714737105</v>
      </c>
      <c r="K1049" s="81"/>
      <c r="L1049" s="4" t="s">
        <v>362</v>
      </c>
      <c r="M1049" s="81"/>
      <c r="N1049" s="81"/>
      <c r="O1049" s="81"/>
      <c r="Q1049" s="81"/>
    </row>
    <row r="1050" spans="1:17" ht="13.5" thickBot="1">
      <c r="A1050" s="977"/>
      <c r="C1050" s="487" t="s">
        <v>281</v>
      </c>
      <c r="D1050" s="637" t="s">
        <v>923</v>
      </c>
      <c r="E1050" s="492" t="s">
        <v>282</v>
      </c>
      <c r="F1050" s="493"/>
      <c r="G1050" s="493"/>
      <c r="H1050" s="494"/>
      <c r="I1050" s="494"/>
      <c r="J1050" s="480">
        <f>IF(D1046=0,0,D1046/D1049)</f>
        <v>170711.85214285715</v>
      </c>
      <c r="K1050" s="467"/>
      <c r="L1050" s="467" t="s">
        <v>363</v>
      </c>
      <c r="M1050" s="467"/>
      <c r="N1050" s="467"/>
      <c r="O1050" s="467"/>
      <c r="Q1050" s="467"/>
    </row>
    <row r="1051" spans="1:17" ht="38.25">
      <c r="A1051" s="12"/>
      <c r="B1051" s="12"/>
      <c r="C1051" s="495" t="s">
        <v>272</v>
      </c>
      <c r="D1051" s="496" t="s">
        <v>283</v>
      </c>
      <c r="E1051" s="497" t="s">
        <v>284</v>
      </c>
      <c r="F1051" s="496" t="s">
        <v>285</v>
      </c>
      <c r="G1051" s="496" t="s">
        <v>458</v>
      </c>
      <c r="H1051" s="497" t="s">
        <v>356</v>
      </c>
      <c r="I1051" s="498" t="s">
        <v>356</v>
      </c>
      <c r="J1051" s="495" t="s">
        <v>295</v>
      </c>
      <c r="K1051" s="499"/>
      <c r="L1051" s="497" t="s">
        <v>358</v>
      </c>
      <c r="M1051" s="497" t="s">
        <v>364</v>
      </c>
      <c r="N1051" s="497" t="s">
        <v>358</v>
      </c>
      <c r="O1051" s="497" t="s">
        <v>366</v>
      </c>
      <c r="P1051" s="497" t="s">
        <v>286</v>
      </c>
      <c r="Q1051" s="128"/>
    </row>
    <row r="1052" spans="1:17" ht="13.5" thickBot="1">
      <c r="C1052" s="500" t="s">
        <v>177</v>
      </c>
      <c r="D1052" s="501" t="s">
        <v>178</v>
      </c>
      <c r="E1052" s="500" t="s">
        <v>37</v>
      </c>
      <c r="F1052" s="501" t="s">
        <v>178</v>
      </c>
      <c r="G1052" s="501" t="s">
        <v>178</v>
      </c>
      <c r="H1052" s="502" t="s">
        <v>298</v>
      </c>
      <c r="I1052" s="503" t="s">
        <v>300</v>
      </c>
      <c r="J1052" s="500" t="s">
        <v>389</v>
      </c>
      <c r="K1052" s="504"/>
      <c r="L1052" s="502" t="s">
        <v>287</v>
      </c>
      <c r="M1052" s="502" t="s">
        <v>287</v>
      </c>
      <c r="N1052" s="502" t="s">
        <v>467</v>
      </c>
      <c r="O1052" s="502" t="s">
        <v>467</v>
      </c>
      <c r="P1052" s="502" t="s">
        <v>467</v>
      </c>
      <c r="Q1052" s="135"/>
    </row>
    <row r="1053" spans="1:17">
      <c r="C1053" s="505">
        <f>IF(D1047= "","-",D1047)</f>
        <v>2015</v>
      </c>
      <c r="D1053" s="469">
        <f>+D1046</f>
        <v>7169897.79</v>
      </c>
      <c r="E1053" s="506">
        <f>+J1050/12*(12-D1048)</f>
        <v>142259.8767857143</v>
      </c>
      <c r="F1053" s="548">
        <f t="shared" ref="F1053:F1112" si="96">+D1053-E1053</f>
        <v>7027637.9132142859</v>
      </c>
      <c r="G1053" s="469">
        <f t="shared" ref="G1053:G1112" si="97">+(D1053+F1053)/2</f>
        <v>7098767.8516071429</v>
      </c>
      <c r="H1053" s="507">
        <f>+J1048*G1053+E1053</f>
        <v>1206835.5928370003</v>
      </c>
      <c r="I1053" s="508">
        <f>+J1049*G1053+E1053</f>
        <v>1206835.5928370003</v>
      </c>
      <c r="J1053" s="509">
        <f t="shared" ref="J1053:J1112" si="98">+I1053-H1053</f>
        <v>0</v>
      </c>
      <c r="K1053" s="509"/>
      <c r="L1053" s="513">
        <v>250071</v>
      </c>
      <c r="M1053" s="549">
        <f t="shared" ref="M1053:M1112" si="99">IF(L1053&lt;&gt;0,+H1053-L1053,0)</f>
        <v>956764.59283700027</v>
      </c>
      <c r="N1053" s="513">
        <v>250071</v>
      </c>
      <c r="O1053" s="549">
        <f t="shared" ref="O1053:O1112" si="100">IF(N1053&lt;&gt;0,+I1053-N1053,0)</f>
        <v>956764.59283700027</v>
      </c>
      <c r="P1053" s="549">
        <f t="shared" ref="P1053:P1112" si="101">+O1053-M1053</f>
        <v>0</v>
      </c>
      <c r="Q1053" s="471"/>
    </row>
    <row r="1054" spans="1:17">
      <c r="C1054" s="505">
        <f>IF(D1047="","-",+C1053+1)</f>
        <v>2016</v>
      </c>
      <c r="D1054" s="469">
        <f t="shared" ref="D1054:D1112" si="102">F1053</f>
        <v>7027637.9132142859</v>
      </c>
      <c r="E1054" s="511">
        <f>IF(D1054&gt;$J$1050,$J$1050,D1054)</f>
        <v>170711.85214285715</v>
      </c>
      <c r="F1054" s="511">
        <f t="shared" si="96"/>
        <v>6856926.0610714285</v>
      </c>
      <c r="G1054" s="469">
        <f t="shared" si="97"/>
        <v>6942281.9871428572</v>
      </c>
      <c r="H1054" s="506">
        <f>+J1048*G1054+E1054</f>
        <v>1211819.9672391047</v>
      </c>
      <c r="I1054" s="512">
        <f>+J1049*G1054+E1054</f>
        <v>1211819.9672391047</v>
      </c>
      <c r="J1054" s="509">
        <f t="shared" si="98"/>
        <v>0</v>
      </c>
      <c r="K1054" s="509"/>
      <c r="L1054" s="513">
        <v>77068</v>
      </c>
      <c r="M1054" s="509">
        <f t="shared" si="99"/>
        <v>1134751.9672391047</v>
      </c>
      <c r="N1054" s="513">
        <v>77068</v>
      </c>
      <c r="O1054" s="509">
        <f t="shared" si="100"/>
        <v>1134751.9672391047</v>
      </c>
      <c r="P1054" s="509">
        <f t="shared" si="101"/>
        <v>0</v>
      </c>
      <c r="Q1054" s="471"/>
    </row>
    <row r="1055" spans="1:17">
      <c r="C1055" s="505">
        <f>IF(D1047="","-",+C1054+1)</f>
        <v>2017</v>
      </c>
      <c r="D1055" s="469">
        <f t="shared" si="102"/>
        <v>6856926.0610714285</v>
      </c>
      <c r="E1055" s="511">
        <f t="shared" ref="E1055:E1112" si="103">IF(D1055&gt;$J$1050,$J$1050,D1055)</f>
        <v>170711.85214285715</v>
      </c>
      <c r="F1055" s="511">
        <f t="shared" si="96"/>
        <v>6686214.2089285711</v>
      </c>
      <c r="G1055" s="469">
        <f t="shared" si="97"/>
        <v>6771570.1349999998</v>
      </c>
      <c r="H1055" s="506">
        <f>+J1048*G1055+E1055</f>
        <v>1186218.9480154265</v>
      </c>
      <c r="I1055" s="512">
        <f>+J1049*G1055+E1055</f>
        <v>1186218.9480154265</v>
      </c>
      <c r="J1055" s="509">
        <f t="shared" si="98"/>
        <v>0</v>
      </c>
      <c r="K1055" s="509"/>
      <c r="L1055" s="513">
        <v>123326</v>
      </c>
      <c r="M1055" s="509">
        <f t="shared" si="99"/>
        <v>1062892.9480154265</v>
      </c>
      <c r="N1055" s="513">
        <v>123326</v>
      </c>
      <c r="O1055" s="509">
        <f t="shared" si="100"/>
        <v>1062892.9480154265</v>
      </c>
      <c r="P1055" s="509">
        <f t="shared" si="101"/>
        <v>0</v>
      </c>
      <c r="Q1055" s="471"/>
    </row>
    <row r="1056" spans="1:17">
      <c r="C1056" s="505">
        <f>IF(D1047="","-",+C1055+1)</f>
        <v>2018</v>
      </c>
      <c r="D1056" s="469">
        <f t="shared" si="102"/>
        <v>6686214.2089285711</v>
      </c>
      <c r="E1056" s="511">
        <f t="shared" si="103"/>
        <v>170711.85214285715</v>
      </c>
      <c r="F1056" s="511">
        <f t="shared" si="96"/>
        <v>6515502.3567857137</v>
      </c>
      <c r="G1056" s="469">
        <f t="shared" si="97"/>
        <v>6600858.2828571424</v>
      </c>
      <c r="H1056" s="506">
        <f>+J1048*G1056+E1056</f>
        <v>1160617.9287917484</v>
      </c>
      <c r="I1056" s="512">
        <f>+J1049*G1056+E1056</f>
        <v>1160617.9287917484</v>
      </c>
      <c r="J1056" s="509">
        <f t="shared" si="98"/>
        <v>0</v>
      </c>
      <c r="K1056" s="509"/>
      <c r="L1056" s="513">
        <v>1165473</v>
      </c>
      <c r="M1056" s="509">
        <f t="shared" si="99"/>
        <v>-4855.0712082516402</v>
      </c>
      <c r="N1056" s="513">
        <v>1165473</v>
      </c>
      <c r="O1056" s="509">
        <f t="shared" si="100"/>
        <v>-4855.0712082516402</v>
      </c>
      <c r="P1056" s="509">
        <f t="shared" si="101"/>
        <v>0</v>
      </c>
      <c r="Q1056" s="471"/>
    </row>
    <row r="1057" spans="3:17">
      <c r="C1057" s="505">
        <f>IF(D1047="","-",+C1056+1)</f>
        <v>2019</v>
      </c>
      <c r="D1057" s="941">
        <f t="shared" si="102"/>
        <v>6515502.3567857137</v>
      </c>
      <c r="E1057" s="511">
        <f t="shared" si="103"/>
        <v>170711.85214285715</v>
      </c>
      <c r="F1057" s="511">
        <f t="shared" si="96"/>
        <v>6344790.5046428563</v>
      </c>
      <c r="G1057" s="469">
        <f t="shared" si="97"/>
        <v>6430146.430714285</v>
      </c>
      <c r="H1057" s="506">
        <f>+J1048*G1057+E1057</f>
        <v>1135016.90956807</v>
      </c>
      <c r="I1057" s="512">
        <f>+J1049*G1057+E1057</f>
        <v>1135016.90956807</v>
      </c>
      <c r="J1057" s="509">
        <f t="shared" si="98"/>
        <v>0</v>
      </c>
      <c r="K1057" s="509"/>
      <c r="L1057" s="513">
        <v>1133749</v>
      </c>
      <c r="M1057" s="509">
        <f t="shared" si="99"/>
        <v>1267.9095680699684</v>
      </c>
      <c r="N1057" s="513">
        <v>1133749</v>
      </c>
      <c r="O1057" s="509">
        <f t="shared" si="100"/>
        <v>1267.9095680699684</v>
      </c>
      <c r="P1057" s="509">
        <f t="shared" si="101"/>
        <v>0</v>
      </c>
      <c r="Q1057" s="471"/>
    </row>
    <row r="1058" spans="3:17">
      <c r="C1058" s="505">
        <f>IF(D1047="","-",+C1057+1)</f>
        <v>2020</v>
      </c>
      <c r="D1058" s="941">
        <f t="shared" si="102"/>
        <v>6344790.5046428563</v>
      </c>
      <c r="E1058" s="511">
        <f t="shared" si="103"/>
        <v>170711.85214285715</v>
      </c>
      <c r="F1058" s="511">
        <f t="shared" si="96"/>
        <v>6174078.6524999989</v>
      </c>
      <c r="G1058" s="469">
        <f t="shared" si="97"/>
        <v>6259434.5785714276</v>
      </c>
      <c r="H1058" s="506">
        <f>+J1048*G1058+E1058</f>
        <v>1109415.8903443918</v>
      </c>
      <c r="I1058" s="512">
        <f>+J1049*G1058+E1058</f>
        <v>1109415.8903443918</v>
      </c>
      <c r="J1058" s="509">
        <f t="shared" si="98"/>
        <v>0</v>
      </c>
      <c r="K1058" s="509"/>
      <c r="L1058" s="513">
        <v>1092679.4201285779</v>
      </c>
      <c r="M1058" s="509">
        <f t="shared" si="99"/>
        <v>16736.470215813955</v>
      </c>
      <c r="N1058" s="513">
        <v>1092679.4201285779</v>
      </c>
      <c r="O1058" s="509">
        <f t="shared" si="100"/>
        <v>16736.470215813955</v>
      </c>
      <c r="P1058" s="509">
        <f t="shared" si="101"/>
        <v>0</v>
      </c>
      <c r="Q1058" s="471"/>
    </row>
    <row r="1059" spans="3:17">
      <c r="C1059" s="505">
        <f>IF(D1047="","-",+C1058+1)</f>
        <v>2021</v>
      </c>
      <c r="D1059" s="941">
        <f t="shared" si="102"/>
        <v>6174078.6524999989</v>
      </c>
      <c r="E1059" s="511">
        <f t="shared" si="103"/>
        <v>170711.85214285715</v>
      </c>
      <c r="F1059" s="511">
        <f t="shared" si="96"/>
        <v>6003366.8003571415</v>
      </c>
      <c r="G1059" s="469">
        <f t="shared" si="97"/>
        <v>6088722.7264285702</v>
      </c>
      <c r="H1059" s="506">
        <f>+J1048*G1059+E1059</f>
        <v>1083814.8711207137</v>
      </c>
      <c r="I1059" s="512">
        <f>+J1049*G1059+E1059</f>
        <v>1083814.8711207137</v>
      </c>
      <c r="J1059" s="509">
        <f t="shared" si="98"/>
        <v>0</v>
      </c>
      <c r="K1059" s="509"/>
      <c r="L1059" s="513">
        <v>1042816.9121376689</v>
      </c>
      <c r="M1059" s="509">
        <f t="shared" si="99"/>
        <v>40997.958983044722</v>
      </c>
      <c r="N1059" s="513">
        <v>1042816.9121376689</v>
      </c>
      <c r="O1059" s="509">
        <f t="shared" si="100"/>
        <v>40997.958983044722</v>
      </c>
      <c r="P1059" s="509">
        <f t="shared" si="101"/>
        <v>0</v>
      </c>
      <c r="Q1059" s="471"/>
    </row>
    <row r="1060" spans="3:17">
      <c r="C1060" s="505">
        <f>IF(D1047="","-",+C1059+1)</f>
        <v>2022</v>
      </c>
      <c r="D1060" s="469">
        <f t="shared" si="102"/>
        <v>6003366.8003571415</v>
      </c>
      <c r="E1060" s="511">
        <f t="shared" si="103"/>
        <v>170711.85214285715</v>
      </c>
      <c r="F1060" s="511">
        <f t="shared" si="96"/>
        <v>5832654.9482142841</v>
      </c>
      <c r="G1060" s="469">
        <f t="shared" si="97"/>
        <v>5918010.8742857128</v>
      </c>
      <c r="H1060" s="506">
        <f>+J1048*G1060+E1060</f>
        <v>1058213.8518970353</v>
      </c>
      <c r="I1060" s="512">
        <f>+J1049*G1060+E1060</f>
        <v>1058213.8518970353</v>
      </c>
      <c r="J1060" s="509">
        <f t="shared" si="98"/>
        <v>0</v>
      </c>
      <c r="K1060" s="509"/>
      <c r="L1060" s="513">
        <v>1023693.381776879</v>
      </c>
      <c r="M1060" s="509">
        <f t="shared" si="99"/>
        <v>34520.4701201563</v>
      </c>
      <c r="N1060" s="513">
        <v>1023693.381776879</v>
      </c>
      <c r="O1060" s="509">
        <f t="shared" si="100"/>
        <v>34520.4701201563</v>
      </c>
      <c r="P1060" s="509">
        <f t="shared" si="101"/>
        <v>0</v>
      </c>
      <c r="Q1060" s="471"/>
    </row>
    <row r="1061" spans="3:17">
      <c r="C1061" s="505">
        <f>IF(D1047="","-",+C1060+1)</f>
        <v>2023</v>
      </c>
      <c r="D1061" s="469">
        <f t="shared" si="102"/>
        <v>5832654.9482142841</v>
      </c>
      <c r="E1061" s="511">
        <f t="shared" si="103"/>
        <v>170711.85214285715</v>
      </c>
      <c r="F1061" s="511">
        <f t="shared" si="96"/>
        <v>5661943.0960714268</v>
      </c>
      <c r="G1061" s="469">
        <f t="shared" si="97"/>
        <v>5747299.0221428555</v>
      </c>
      <c r="H1061" s="506">
        <f>+J1048*G1061+E1061</f>
        <v>1032612.832673357</v>
      </c>
      <c r="I1061" s="512">
        <f>+J1049*G1061+E1061</f>
        <v>1032612.832673357</v>
      </c>
      <c r="J1061" s="509">
        <f t="shared" si="98"/>
        <v>0</v>
      </c>
      <c r="K1061" s="509"/>
      <c r="L1061" s="513">
        <v>1039488.6631923849</v>
      </c>
      <c r="M1061" s="509">
        <f t="shared" si="99"/>
        <v>-6875.8305190278916</v>
      </c>
      <c r="N1061" s="513">
        <v>1039488.6631923849</v>
      </c>
      <c r="O1061" s="509">
        <f t="shared" si="100"/>
        <v>-6875.8305190278916</v>
      </c>
      <c r="P1061" s="509">
        <f t="shared" si="101"/>
        <v>0</v>
      </c>
      <c r="Q1061" s="471"/>
    </row>
    <row r="1062" spans="3:17">
      <c r="C1062" s="963">
        <f>IF(D1047="","-",+C1061+1)</f>
        <v>2024</v>
      </c>
      <c r="D1062" s="469">
        <f t="shared" si="102"/>
        <v>5661943.0960714268</v>
      </c>
      <c r="E1062" s="511">
        <f t="shared" si="103"/>
        <v>170711.85214285715</v>
      </c>
      <c r="F1062" s="511">
        <f t="shared" si="96"/>
        <v>5491231.2439285694</v>
      </c>
      <c r="G1062" s="469">
        <f t="shared" si="97"/>
        <v>5576587.1699999981</v>
      </c>
      <c r="H1062" s="506">
        <f>+J1048*G1062+E1062</f>
        <v>1007011.8134496787</v>
      </c>
      <c r="I1062" s="512">
        <f>+J1049*G1062+E1062</f>
        <v>1007011.8134496787</v>
      </c>
      <c r="J1062" s="509">
        <f t="shared" si="98"/>
        <v>0</v>
      </c>
      <c r="K1062" s="509"/>
      <c r="L1062" s="513">
        <v>1009624.3700019825</v>
      </c>
      <c r="M1062" s="509">
        <f t="shared" si="99"/>
        <v>-2612.5565523038385</v>
      </c>
      <c r="N1062" s="513">
        <v>1009624.3700019825</v>
      </c>
      <c r="O1062" s="509">
        <f t="shared" si="100"/>
        <v>-2612.5565523038385</v>
      </c>
      <c r="P1062" s="509">
        <f t="shared" si="101"/>
        <v>0</v>
      </c>
      <c r="Q1062" s="471"/>
    </row>
    <row r="1063" spans="3:17">
      <c r="C1063" s="505">
        <f>IF(D1047="","-",+C1062+1)</f>
        <v>2025</v>
      </c>
      <c r="D1063" s="469">
        <f t="shared" si="102"/>
        <v>5491231.2439285694</v>
      </c>
      <c r="E1063" s="511">
        <f t="shared" si="103"/>
        <v>170711.85214285715</v>
      </c>
      <c r="F1063" s="511">
        <f t="shared" si="96"/>
        <v>5320519.391785712</v>
      </c>
      <c r="G1063" s="469">
        <f t="shared" si="97"/>
        <v>5405875.3178571407</v>
      </c>
      <c r="H1063" s="506">
        <f>+J1048*G1063+E1063</f>
        <v>981410.79422600043</v>
      </c>
      <c r="I1063" s="512">
        <f>+J1049*G1063+E1063</f>
        <v>981410.79422600043</v>
      </c>
      <c r="J1063" s="509">
        <f t="shared" si="98"/>
        <v>0</v>
      </c>
      <c r="K1063" s="509"/>
      <c r="L1063" s="513">
        <v>954988.00263858004</v>
      </c>
      <c r="M1063" s="509">
        <f t="shared" si="99"/>
        <v>26422.79158742039</v>
      </c>
      <c r="N1063" s="513">
        <v>954988.00263858004</v>
      </c>
      <c r="O1063" s="509">
        <f t="shared" si="100"/>
        <v>26422.79158742039</v>
      </c>
      <c r="P1063" s="509">
        <f t="shared" si="101"/>
        <v>0</v>
      </c>
      <c r="Q1063" s="471"/>
    </row>
    <row r="1064" spans="3:17">
      <c r="C1064" s="505">
        <f>IF(D1047="","-",+C1063+1)</f>
        <v>2026</v>
      </c>
      <c r="D1064" s="469">
        <f t="shared" si="102"/>
        <v>5320519.391785712</v>
      </c>
      <c r="E1064" s="511">
        <f t="shared" si="103"/>
        <v>170711.85214285715</v>
      </c>
      <c r="F1064" s="511">
        <f t="shared" si="96"/>
        <v>5149807.5396428546</v>
      </c>
      <c r="G1064" s="469">
        <f t="shared" si="97"/>
        <v>5235163.4657142833</v>
      </c>
      <c r="H1064" s="506">
        <f>+J1048*G1064+E1064</f>
        <v>955809.77500232228</v>
      </c>
      <c r="I1064" s="512">
        <f>+J1049*G1064+E1064</f>
        <v>955809.77500232228</v>
      </c>
      <c r="J1064" s="509">
        <f t="shared" si="98"/>
        <v>0</v>
      </c>
      <c r="K1064" s="509"/>
      <c r="L1064" s="513"/>
      <c r="M1064" s="509">
        <f t="shared" si="99"/>
        <v>0</v>
      </c>
      <c r="N1064" s="513"/>
      <c r="O1064" s="509">
        <f t="shared" si="100"/>
        <v>0</v>
      </c>
      <c r="P1064" s="509">
        <f t="shared" si="101"/>
        <v>0</v>
      </c>
      <c r="Q1064" s="471"/>
    </row>
    <row r="1065" spans="3:17">
      <c r="C1065" s="505">
        <f>IF(D1047="","-",+C1064+1)</f>
        <v>2027</v>
      </c>
      <c r="D1065" s="469">
        <f t="shared" si="102"/>
        <v>5149807.5396428546</v>
      </c>
      <c r="E1065" s="511">
        <f t="shared" si="103"/>
        <v>170711.85214285715</v>
      </c>
      <c r="F1065" s="511">
        <f t="shared" si="96"/>
        <v>4979095.6874999972</v>
      </c>
      <c r="G1065" s="469">
        <f t="shared" si="97"/>
        <v>5064451.6135714259</v>
      </c>
      <c r="H1065" s="506">
        <f>+J1048*G1065+E1065</f>
        <v>930208.755778644</v>
      </c>
      <c r="I1065" s="512">
        <f>+J1049*G1065+E1065</f>
        <v>930208.755778644</v>
      </c>
      <c r="J1065" s="509">
        <f t="shared" si="98"/>
        <v>0</v>
      </c>
      <c r="K1065" s="509"/>
      <c r="L1065" s="513"/>
      <c r="M1065" s="509">
        <f t="shared" si="99"/>
        <v>0</v>
      </c>
      <c r="N1065" s="513"/>
      <c r="O1065" s="509">
        <f t="shared" si="100"/>
        <v>0</v>
      </c>
      <c r="P1065" s="509">
        <f t="shared" si="101"/>
        <v>0</v>
      </c>
      <c r="Q1065" s="471"/>
    </row>
    <row r="1066" spans="3:17">
      <c r="C1066" s="505">
        <f>IF(D1047="","-",+C1065+1)</f>
        <v>2028</v>
      </c>
      <c r="D1066" s="469">
        <f t="shared" si="102"/>
        <v>4979095.6874999972</v>
      </c>
      <c r="E1066" s="511">
        <f t="shared" si="103"/>
        <v>170711.85214285715</v>
      </c>
      <c r="F1066" s="511">
        <f t="shared" si="96"/>
        <v>4808383.8353571398</v>
      </c>
      <c r="G1066" s="469">
        <f t="shared" si="97"/>
        <v>4893739.7614285685</v>
      </c>
      <c r="H1066" s="506">
        <f>+J1048*G1066+E1066</f>
        <v>904607.73655496573</v>
      </c>
      <c r="I1066" s="512">
        <f>+J1049*G1066+E1066</f>
        <v>904607.73655496573</v>
      </c>
      <c r="J1066" s="509">
        <f t="shared" si="98"/>
        <v>0</v>
      </c>
      <c r="K1066" s="509"/>
      <c r="L1066" s="513"/>
      <c r="M1066" s="509">
        <f t="shared" si="99"/>
        <v>0</v>
      </c>
      <c r="N1066" s="513"/>
      <c r="O1066" s="509">
        <f t="shared" si="100"/>
        <v>0</v>
      </c>
      <c r="P1066" s="509">
        <f t="shared" si="101"/>
        <v>0</v>
      </c>
      <c r="Q1066" s="471"/>
    </row>
    <row r="1067" spans="3:17">
      <c r="C1067" s="505">
        <f>IF(D1047="","-",+C1066+1)</f>
        <v>2029</v>
      </c>
      <c r="D1067" s="469">
        <f t="shared" si="102"/>
        <v>4808383.8353571398</v>
      </c>
      <c r="E1067" s="511">
        <f t="shared" si="103"/>
        <v>170711.85214285715</v>
      </c>
      <c r="F1067" s="511">
        <f t="shared" si="96"/>
        <v>4637671.9832142824</v>
      </c>
      <c r="G1067" s="469">
        <f t="shared" si="97"/>
        <v>4723027.9092857111</v>
      </c>
      <c r="H1067" s="506">
        <f>+J1048*G1067+E1067</f>
        <v>879006.71733128745</v>
      </c>
      <c r="I1067" s="512">
        <f>+J1049*G1067+E1067</f>
        <v>879006.71733128745</v>
      </c>
      <c r="J1067" s="509">
        <f t="shared" si="98"/>
        <v>0</v>
      </c>
      <c r="K1067" s="509"/>
      <c r="L1067" s="513"/>
      <c r="M1067" s="509">
        <f t="shared" si="99"/>
        <v>0</v>
      </c>
      <c r="N1067" s="513"/>
      <c r="O1067" s="509">
        <f t="shared" si="100"/>
        <v>0</v>
      </c>
      <c r="P1067" s="509">
        <f t="shared" si="101"/>
        <v>0</v>
      </c>
      <c r="Q1067" s="471"/>
    </row>
    <row r="1068" spans="3:17">
      <c r="C1068" s="505">
        <f>IF(D1047="","-",+C1067+1)</f>
        <v>2030</v>
      </c>
      <c r="D1068" s="469">
        <f t="shared" si="102"/>
        <v>4637671.9832142824</v>
      </c>
      <c r="E1068" s="511">
        <f t="shared" si="103"/>
        <v>170711.85214285715</v>
      </c>
      <c r="F1068" s="511">
        <f t="shared" si="96"/>
        <v>4466960.131071425</v>
      </c>
      <c r="G1068" s="469">
        <f t="shared" si="97"/>
        <v>4552316.0571428537</v>
      </c>
      <c r="H1068" s="506">
        <f>+J1048*G1068+E1068</f>
        <v>853405.69810760918</v>
      </c>
      <c r="I1068" s="512">
        <f>+J1049*G1068+E1068</f>
        <v>853405.69810760918</v>
      </c>
      <c r="J1068" s="509">
        <f t="shared" si="98"/>
        <v>0</v>
      </c>
      <c r="K1068" s="509"/>
      <c r="L1068" s="513"/>
      <c r="M1068" s="509">
        <f t="shared" si="99"/>
        <v>0</v>
      </c>
      <c r="N1068" s="513"/>
      <c r="O1068" s="509">
        <f t="shared" si="100"/>
        <v>0</v>
      </c>
      <c r="P1068" s="509">
        <f t="shared" si="101"/>
        <v>0</v>
      </c>
      <c r="Q1068" s="471"/>
    </row>
    <row r="1069" spans="3:17">
      <c r="C1069" s="505">
        <f>IF(D1047="","-",+C1068+1)</f>
        <v>2031</v>
      </c>
      <c r="D1069" s="469">
        <f t="shared" si="102"/>
        <v>4466960.131071425</v>
      </c>
      <c r="E1069" s="511">
        <f t="shared" si="103"/>
        <v>170711.85214285715</v>
      </c>
      <c r="F1069" s="511">
        <f t="shared" si="96"/>
        <v>4296248.2789285677</v>
      </c>
      <c r="G1069" s="469">
        <f t="shared" si="97"/>
        <v>4381604.2049999963</v>
      </c>
      <c r="H1069" s="506">
        <f>+J1048*G1069+E1069</f>
        <v>827804.6788839309</v>
      </c>
      <c r="I1069" s="512">
        <f>+J1049*G1069+E1069</f>
        <v>827804.6788839309</v>
      </c>
      <c r="J1069" s="509">
        <f t="shared" si="98"/>
        <v>0</v>
      </c>
      <c r="K1069" s="509"/>
      <c r="L1069" s="513"/>
      <c r="M1069" s="509">
        <f t="shared" si="99"/>
        <v>0</v>
      </c>
      <c r="N1069" s="513"/>
      <c r="O1069" s="509">
        <f t="shared" si="100"/>
        <v>0</v>
      </c>
      <c r="P1069" s="509">
        <f t="shared" si="101"/>
        <v>0</v>
      </c>
      <c r="Q1069" s="471"/>
    </row>
    <row r="1070" spans="3:17">
      <c r="C1070" s="505">
        <f>IF(D1047="","-",+C1069+1)</f>
        <v>2032</v>
      </c>
      <c r="D1070" s="469">
        <f t="shared" si="102"/>
        <v>4296248.2789285677</v>
      </c>
      <c r="E1070" s="511">
        <f t="shared" si="103"/>
        <v>170711.85214285715</v>
      </c>
      <c r="F1070" s="511">
        <f t="shared" si="96"/>
        <v>4125536.4267857103</v>
      </c>
      <c r="G1070" s="469">
        <f t="shared" si="97"/>
        <v>4210892.352857139</v>
      </c>
      <c r="H1070" s="506">
        <f>+J1048*G1070+E1070</f>
        <v>802203.65966025263</v>
      </c>
      <c r="I1070" s="512">
        <f>+J1049*G1070+E1070</f>
        <v>802203.65966025263</v>
      </c>
      <c r="J1070" s="509">
        <f t="shared" si="98"/>
        <v>0</v>
      </c>
      <c r="K1070" s="509"/>
      <c r="L1070" s="513"/>
      <c r="M1070" s="509">
        <f t="shared" si="99"/>
        <v>0</v>
      </c>
      <c r="N1070" s="513"/>
      <c r="O1070" s="509">
        <f t="shared" si="100"/>
        <v>0</v>
      </c>
      <c r="P1070" s="509">
        <f t="shared" si="101"/>
        <v>0</v>
      </c>
      <c r="Q1070" s="471"/>
    </row>
    <row r="1071" spans="3:17">
      <c r="C1071" s="505">
        <f>IF(D1047="","-",+C1070+1)</f>
        <v>2033</v>
      </c>
      <c r="D1071" s="469">
        <f t="shared" si="102"/>
        <v>4125536.4267857103</v>
      </c>
      <c r="E1071" s="511">
        <f t="shared" si="103"/>
        <v>170711.85214285715</v>
      </c>
      <c r="F1071" s="511">
        <f t="shared" si="96"/>
        <v>3954824.5746428529</v>
      </c>
      <c r="G1071" s="469">
        <f t="shared" si="97"/>
        <v>4040180.5007142816</v>
      </c>
      <c r="H1071" s="506">
        <f>+J1048*G1071+E1071</f>
        <v>776602.64043657447</v>
      </c>
      <c r="I1071" s="512">
        <f>+J1049*G1071+E1071</f>
        <v>776602.64043657447</v>
      </c>
      <c r="J1071" s="509">
        <f t="shared" si="98"/>
        <v>0</v>
      </c>
      <c r="K1071" s="509"/>
      <c r="L1071" s="513"/>
      <c r="M1071" s="509">
        <f t="shared" si="99"/>
        <v>0</v>
      </c>
      <c r="N1071" s="513"/>
      <c r="O1071" s="509">
        <f t="shared" si="100"/>
        <v>0</v>
      </c>
      <c r="P1071" s="509">
        <f t="shared" si="101"/>
        <v>0</v>
      </c>
      <c r="Q1071" s="471"/>
    </row>
    <row r="1072" spans="3:17">
      <c r="C1072" s="505">
        <f>IF(D1047="","-",+C1071+1)</f>
        <v>2034</v>
      </c>
      <c r="D1072" s="469">
        <f t="shared" si="102"/>
        <v>3954824.5746428529</v>
      </c>
      <c r="E1072" s="511">
        <f t="shared" si="103"/>
        <v>170711.85214285715</v>
      </c>
      <c r="F1072" s="511">
        <f t="shared" si="96"/>
        <v>3784112.7224999955</v>
      </c>
      <c r="G1072" s="469">
        <f t="shared" si="97"/>
        <v>3869468.6485714242</v>
      </c>
      <c r="H1072" s="506">
        <f>+J1048*G1072+E1072</f>
        <v>751001.62121289619</v>
      </c>
      <c r="I1072" s="512">
        <f>+J1049*G1072+E1072</f>
        <v>751001.62121289619</v>
      </c>
      <c r="J1072" s="509">
        <f t="shared" si="98"/>
        <v>0</v>
      </c>
      <c r="K1072" s="509"/>
      <c r="L1072" s="513"/>
      <c r="M1072" s="509">
        <f t="shared" si="99"/>
        <v>0</v>
      </c>
      <c r="N1072" s="513"/>
      <c r="O1072" s="509">
        <f t="shared" si="100"/>
        <v>0</v>
      </c>
      <c r="P1072" s="509">
        <f t="shared" si="101"/>
        <v>0</v>
      </c>
      <c r="Q1072" s="471"/>
    </row>
    <row r="1073" spans="3:17">
      <c r="C1073" s="505">
        <f>IF(D1047="","-",+C1072+1)</f>
        <v>2035</v>
      </c>
      <c r="D1073" s="469">
        <f t="shared" si="102"/>
        <v>3784112.7224999955</v>
      </c>
      <c r="E1073" s="511">
        <f t="shared" si="103"/>
        <v>170711.85214285715</v>
      </c>
      <c r="F1073" s="511">
        <f t="shared" si="96"/>
        <v>3613400.8703571381</v>
      </c>
      <c r="G1073" s="469">
        <f t="shared" si="97"/>
        <v>3698756.7964285668</v>
      </c>
      <c r="H1073" s="506">
        <f>+J1048*G1073+E1073</f>
        <v>725400.60198921792</v>
      </c>
      <c r="I1073" s="512">
        <f>+J1049*G1073+E1073</f>
        <v>725400.60198921792</v>
      </c>
      <c r="J1073" s="509">
        <f t="shared" si="98"/>
        <v>0</v>
      </c>
      <c r="K1073" s="509"/>
      <c r="L1073" s="513"/>
      <c r="M1073" s="509">
        <f t="shared" si="99"/>
        <v>0</v>
      </c>
      <c r="N1073" s="513"/>
      <c r="O1073" s="509">
        <f t="shared" si="100"/>
        <v>0</v>
      </c>
      <c r="P1073" s="509">
        <f t="shared" si="101"/>
        <v>0</v>
      </c>
      <c r="Q1073" s="471"/>
    </row>
    <row r="1074" spans="3:17">
      <c r="C1074" s="505">
        <f>IF(D1047="","-",+C1073+1)</f>
        <v>2036</v>
      </c>
      <c r="D1074" s="469">
        <f t="shared" si="102"/>
        <v>3613400.8703571381</v>
      </c>
      <c r="E1074" s="511">
        <f t="shared" si="103"/>
        <v>170711.85214285715</v>
      </c>
      <c r="F1074" s="511">
        <f t="shared" si="96"/>
        <v>3442689.0182142807</v>
      </c>
      <c r="G1074" s="469">
        <f t="shared" si="97"/>
        <v>3528044.9442857094</v>
      </c>
      <c r="H1074" s="506">
        <f>+J1048*G1074+E1074</f>
        <v>699799.58276553964</v>
      </c>
      <c r="I1074" s="512">
        <f>+J1049*G1074+E1074</f>
        <v>699799.58276553964</v>
      </c>
      <c r="J1074" s="509">
        <f t="shared" si="98"/>
        <v>0</v>
      </c>
      <c r="K1074" s="509"/>
      <c r="L1074" s="513"/>
      <c r="M1074" s="509">
        <f t="shared" si="99"/>
        <v>0</v>
      </c>
      <c r="N1074" s="513"/>
      <c r="O1074" s="509">
        <f t="shared" si="100"/>
        <v>0</v>
      </c>
      <c r="P1074" s="509">
        <f t="shared" si="101"/>
        <v>0</v>
      </c>
      <c r="Q1074" s="471"/>
    </row>
    <row r="1075" spans="3:17">
      <c r="C1075" s="505">
        <f>IF(D1047="","-",+C1074+1)</f>
        <v>2037</v>
      </c>
      <c r="D1075" s="469">
        <f t="shared" si="102"/>
        <v>3442689.0182142807</v>
      </c>
      <c r="E1075" s="511">
        <f t="shared" si="103"/>
        <v>170711.85214285715</v>
      </c>
      <c r="F1075" s="511">
        <f t="shared" si="96"/>
        <v>3271977.1660714233</v>
      </c>
      <c r="G1075" s="469">
        <f t="shared" si="97"/>
        <v>3357333.092142852</v>
      </c>
      <c r="H1075" s="506">
        <f>+J1048*G1075+E1075</f>
        <v>674198.56354186137</v>
      </c>
      <c r="I1075" s="512">
        <f>+J1049*G1075+E1075</f>
        <v>674198.56354186137</v>
      </c>
      <c r="J1075" s="509">
        <f t="shared" si="98"/>
        <v>0</v>
      </c>
      <c r="K1075" s="509"/>
      <c r="L1075" s="513"/>
      <c r="M1075" s="509">
        <f t="shared" si="99"/>
        <v>0</v>
      </c>
      <c r="N1075" s="513"/>
      <c r="O1075" s="509">
        <f t="shared" si="100"/>
        <v>0</v>
      </c>
      <c r="P1075" s="509">
        <f t="shared" si="101"/>
        <v>0</v>
      </c>
      <c r="Q1075" s="471"/>
    </row>
    <row r="1076" spans="3:17">
      <c r="C1076" s="505">
        <f>IF(D1047="","-",+C1075+1)</f>
        <v>2038</v>
      </c>
      <c r="D1076" s="469">
        <f t="shared" si="102"/>
        <v>3271977.1660714233</v>
      </c>
      <c r="E1076" s="511">
        <f t="shared" si="103"/>
        <v>170711.85214285715</v>
      </c>
      <c r="F1076" s="511">
        <f t="shared" si="96"/>
        <v>3101265.3139285659</v>
      </c>
      <c r="G1076" s="469">
        <f t="shared" si="97"/>
        <v>3186621.2399999946</v>
      </c>
      <c r="H1076" s="506">
        <f>+J1048*G1076+E1076</f>
        <v>648597.54431818309</v>
      </c>
      <c r="I1076" s="512">
        <f>+J1049*G1076+E1076</f>
        <v>648597.54431818309</v>
      </c>
      <c r="J1076" s="509">
        <f t="shared" si="98"/>
        <v>0</v>
      </c>
      <c r="K1076" s="509"/>
      <c r="L1076" s="513"/>
      <c r="M1076" s="509">
        <f t="shared" si="99"/>
        <v>0</v>
      </c>
      <c r="N1076" s="513"/>
      <c r="O1076" s="509">
        <f t="shared" si="100"/>
        <v>0</v>
      </c>
      <c r="P1076" s="509">
        <f t="shared" si="101"/>
        <v>0</v>
      </c>
      <c r="Q1076" s="471"/>
    </row>
    <row r="1077" spans="3:17">
      <c r="C1077" s="505">
        <f>IF(D1047="","-",+C1076+1)</f>
        <v>2039</v>
      </c>
      <c r="D1077" s="469">
        <f t="shared" si="102"/>
        <v>3101265.3139285659</v>
      </c>
      <c r="E1077" s="511">
        <f t="shared" si="103"/>
        <v>170711.85214285715</v>
      </c>
      <c r="F1077" s="511">
        <f t="shared" si="96"/>
        <v>2930553.4617857086</v>
      </c>
      <c r="G1077" s="469">
        <f t="shared" si="97"/>
        <v>3015909.3878571372</v>
      </c>
      <c r="H1077" s="506">
        <f>+J1048*G1077+E1077</f>
        <v>622996.52509450493</v>
      </c>
      <c r="I1077" s="512">
        <f>+J1049*G1077+E1077</f>
        <v>622996.52509450493</v>
      </c>
      <c r="J1077" s="509">
        <f t="shared" si="98"/>
        <v>0</v>
      </c>
      <c r="K1077" s="509"/>
      <c r="L1077" s="513"/>
      <c r="M1077" s="509">
        <f t="shared" si="99"/>
        <v>0</v>
      </c>
      <c r="N1077" s="513"/>
      <c r="O1077" s="509">
        <f t="shared" si="100"/>
        <v>0</v>
      </c>
      <c r="P1077" s="509">
        <f t="shared" si="101"/>
        <v>0</v>
      </c>
      <c r="Q1077" s="471"/>
    </row>
    <row r="1078" spans="3:17">
      <c r="C1078" s="505">
        <f>IF(D1047="","-",+C1077+1)</f>
        <v>2040</v>
      </c>
      <c r="D1078" s="469">
        <f t="shared" si="102"/>
        <v>2930553.4617857086</v>
      </c>
      <c r="E1078" s="511">
        <f t="shared" si="103"/>
        <v>170711.85214285715</v>
      </c>
      <c r="F1078" s="511">
        <f t="shared" si="96"/>
        <v>2759841.6096428512</v>
      </c>
      <c r="G1078" s="469">
        <f t="shared" si="97"/>
        <v>2845197.5357142799</v>
      </c>
      <c r="H1078" s="506">
        <f>+J1048*G1078+E1078</f>
        <v>597395.50587082654</v>
      </c>
      <c r="I1078" s="512">
        <f>+J1049*G1078+E1078</f>
        <v>597395.50587082654</v>
      </c>
      <c r="J1078" s="509">
        <f t="shared" si="98"/>
        <v>0</v>
      </c>
      <c r="K1078" s="509"/>
      <c r="L1078" s="513"/>
      <c r="M1078" s="509">
        <f t="shared" si="99"/>
        <v>0</v>
      </c>
      <c r="N1078" s="513"/>
      <c r="O1078" s="509">
        <f t="shared" si="100"/>
        <v>0</v>
      </c>
      <c r="P1078" s="509">
        <f t="shared" si="101"/>
        <v>0</v>
      </c>
      <c r="Q1078" s="471"/>
    </row>
    <row r="1079" spans="3:17">
      <c r="C1079" s="505">
        <f>IF(D1047="","-",+C1078+1)</f>
        <v>2041</v>
      </c>
      <c r="D1079" s="469">
        <f t="shared" si="102"/>
        <v>2759841.6096428512</v>
      </c>
      <c r="E1079" s="511">
        <f t="shared" si="103"/>
        <v>170711.85214285715</v>
      </c>
      <c r="F1079" s="511">
        <f t="shared" si="96"/>
        <v>2589129.7574999938</v>
      </c>
      <c r="G1079" s="469">
        <f t="shared" si="97"/>
        <v>2674485.6835714225</v>
      </c>
      <c r="H1079" s="506">
        <f>+J1048*G1079+E1079</f>
        <v>571794.48664714838</v>
      </c>
      <c r="I1079" s="512">
        <f>+J1049*G1079+E1079</f>
        <v>571794.48664714838</v>
      </c>
      <c r="J1079" s="509">
        <f t="shared" si="98"/>
        <v>0</v>
      </c>
      <c r="K1079" s="509"/>
      <c r="L1079" s="513"/>
      <c r="M1079" s="509">
        <f t="shared" si="99"/>
        <v>0</v>
      </c>
      <c r="N1079" s="513"/>
      <c r="O1079" s="509">
        <f t="shared" si="100"/>
        <v>0</v>
      </c>
      <c r="P1079" s="509">
        <f t="shared" si="101"/>
        <v>0</v>
      </c>
      <c r="Q1079" s="471"/>
    </row>
    <row r="1080" spans="3:17">
      <c r="C1080" s="505">
        <f>IF(D1047="","-",+C1079+1)</f>
        <v>2042</v>
      </c>
      <c r="D1080" s="469">
        <f t="shared" si="102"/>
        <v>2589129.7574999938</v>
      </c>
      <c r="E1080" s="511">
        <f t="shared" si="103"/>
        <v>170711.85214285715</v>
      </c>
      <c r="F1080" s="511">
        <f t="shared" si="96"/>
        <v>2418417.9053571364</v>
      </c>
      <c r="G1080" s="469">
        <f t="shared" si="97"/>
        <v>2503773.8314285651</v>
      </c>
      <c r="H1080" s="506">
        <f>+J1048*G1080+E1080</f>
        <v>546193.46742347011</v>
      </c>
      <c r="I1080" s="512">
        <f>+J1049*G1080+E1080</f>
        <v>546193.46742347011</v>
      </c>
      <c r="J1080" s="509">
        <f t="shared" si="98"/>
        <v>0</v>
      </c>
      <c r="K1080" s="509"/>
      <c r="L1080" s="513"/>
      <c r="M1080" s="509">
        <f t="shared" si="99"/>
        <v>0</v>
      </c>
      <c r="N1080" s="513"/>
      <c r="O1080" s="509">
        <f t="shared" si="100"/>
        <v>0</v>
      </c>
      <c r="P1080" s="509">
        <f t="shared" si="101"/>
        <v>0</v>
      </c>
      <c r="Q1080" s="471"/>
    </row>
    <row r="1081" spans="3:17">
      <c r="C1081" s="505">
        <f>IF(D1047="","-",+C1080+1)</f>
        <v>2043</v>
      </c>
      <c r="D1081" s="469">
        <f t="shared" si="102"/>
        <v>2418417.9053571364</v>
      </c>
      <c r="E1081" s="511">
        <f t="shared" si="103"/>
        <v>170711.85214285715</v>
      </c>
      <c r="F1081" s="511">
        <f t="shared" si="96"/>
        <v>2247706.053214279</v>
      </c>
      <c r="G1081" s="469">
        <f t="shared" si="97"/>
        <v>2333061.9792857077</v>
      </c>
      <c r="H1081" s="506">
        <f>+J1048*G1081+E1081</f>
        <v>520592.44819979183</v>
      </c>
      <c r="I1081" s="512">
        <f>+J1049*G1081+E1081</f>
        <v>520592.44819979183</v>
      </c>
      <c r="J1081" s="509">
        <f t="shared" si="98"/>
        <v>0</v>
      </c>
      <c r="K1081" s="509"/>
      <c r="L1081" s="513"/>
      <c r="M1081" s="509">
        <f t="shared" si="99"/>
        <v>0</v>
      </c>
      <c r="N1081" s="513"/>
      <c r="O1081" s="509">
        <f t="shared" si="100"/>
        <v>0</v>
      </c>
      <c r="P1081" s="509">
        <f t="shared" si="101"/>
        <v>0</v>
      </c>
      <c r="Q1081" s="471"/>
    </row>
    <row r="1082" spans="3:17">
      <c r="C1082" s="505">
        <f>IF(D1047="","-",+C1081+1)</f>
        <v>2044</v>
      </c>
      <c r="D1082" s="469">
        <f t="shared" si="102"/>
        <v>2247706.053214279</v>
      </c>
      <c r="E1082" s="511">
        <f t="shared" si="103"/>
        <v>170711.85214285715</v>
      </c>
      <c r="F1082" s="511">
        <f t="shared" si="96"/>
        <v>2076994.2010714218</v>
      </c>
      <c r="G1082" s="469">
        <f t="shared" si="97"/>
        <v>2162350.1271428503</v>
      </c>
      <c r="H1082" s="506">
        <f>+J1048*G1082+E1082</f>
        <v>494991.42897611362</v>
      </c>
      <c r="I1082" s="512">
        <f>+J1049*G1082+E1082</f>
        <v>494991.42897611362</v>
      </c>
      <c r="J1082" s="509">
        <f t="shared" si="98"/>
        <v>0</v>
      </c>
      <c r="K1082" s="509"/>
      <c r="L1082" s="513"/>
      <c r="M1082" s="509">
        <f t="shared" si="99"/>
        <v>0</v>
      </c>
      <c r="N1082" s="513"/>
      <c r="O1082" s="509">
        <f t="shared" si="100"/>
        <v>0</v>
      </c>
      <c r="P1082" s="509">
        <f t="shared" si="101"/>
        <v>0</v>
      </c>
      <c r="Q1082" s="471"/>
    </row>
    <row r="1083" spans="3:17">
      <c r="C1083" s="505">
        <f>IF(D1047="","-",+C1082+1)</f>
        <v>2045</v>
      </c>
      <c r="D1083" s="469">
        <f t="shared" si="102"/>
        <v>2076994.2010714218</v>
      </c>
      <c r="E1083" s="511">
        <f t="shared" si="103"/>
        <v>170711.85214285715</v>
      </c>
      <c r="F1083" s="511">
        <f t="shared" si="96"/>
        <v>1906282.3489285647</v>
      </c>
      <c r="G1083" s="469">
        <f t="shared" si="97"/>
        <v>1991638.2749999934</v>
      </c>
      <c r="H1083" s="506">
        <f>+J1048*G1083+E1083</f>
        <v>469390.4097524354</v>
      </c>
      <c r="I1083" s="512">
        <f>+J1049*G1083+E1083</f>
        <v>469390.4097524354</v>
      </c>
      <c r="J1083" s="509">
        <f t="shared" si="98"/>
        <v>0</v>
      </c>
      <c r="K1083" s="509"/>
      <c r="L1083" s="513"/>
      <c r="M1083" s="509">
        <f t="shared" si="99"/>
        <v>0</v>
      </c>
      <c r="N1083" s="513"/>
      <c r="O1083" s="509">
        <f t="shared" si="100"/>
        <v>0</v>
      </c>
      <c r="P1083" s="509">
        <f t="shared" si="101"/>
        <v>0</v>
      </c>
      <c r="Q1083" s="471"/>
    </row>
    <row r="1084" spans="3:17">
      <c r="C1084" s="505">
        <f>IF(D1047="","-",+C1083+1)</f>
        <v>2046</v>
      </c>
      <c r="D1084" s="469">
        <f t="shared" si="102"/>
        <v>1906282.3489285647</v>
      </c>
      <c r="E1084" s="511">
        <f t="shared" si="103"/>
        <v>170711.85214285715</v>
      </c>
      <c r="F1084" s="511">
        <f t="shared" si="96"/>
        <v>1735570.4967857075</v>
      </c>
      <c r="G1084" s="469">
        <f t="shared" si="97"/>
        <v>1820926.422857136</v>
      </c>
      <c r="H1084" s="506">
        <f>+J1048*G1084+E1084</f>
        <v>443789.39052875713</v>
      </c>
      <c r="I1084" s="512">
        <f>+J1049*G1084+E1084</f>
        <v>443789.39052875713</v>
      </c>
      <c r="J1084" s="509">
        <f t="shared" si="98"/>
        <v>0</v>
      </c>
      <c r="K1084" s="509"/>
      <c r="L1084" s="513"/>
      <c r="M1084" s="509">
        <f t="shared" si="99"/>
        <v>0</v>
      </c>
      <c r="N1084" s="513"/>
      <c r="O1084" s="509">
        <f t="shared" si="100"/>
        <v>0</v>
      </c>
      <c r="P1084" s="509">
        <f t="shared" si="101"/>
        <v>0</v>
      </c>
      <c r="Q1084" s="471"/>
    </row>
    <row r="1085" spans="3:17">
      <c r="C1085" s="505">
        <f>IF(D1047="","-",+C1084+1)</f>
        <v>2047</v>
      </c>
      <c r="D1085" s="469">
        <f t="shared" si="102"/>
        <v>1735570.4967857075</v>
      </c>
      <c r="E1085" s="511">
        <f t="shared" si="103"/>
        <v>170711.85214285715</v>
      </c>
      <c r="F1085" s="511">
        <f t="shared" si="96"/>
        <v>1564858.6446428504</v>
      </c>
      <c r="G1085" s="469">
        <f t="shared" si="97"/>
        <v>1650214.5707142791</v>
      </c>
      <c r="H1085" s="506">
        <f>+J1048*G1085+E1085</f>
        <v>418188.37130507897</v>
      </c>
      <c r="I1085" s="512">
        <f>+J1049*G1085+E1085</f>
        <v>418188.37130507897</v>
      </c>
      <c r="J1085" s="509">
        <f t="shared" si="98"/>
        <v>0</v>
      </c>
      <c r="K1085" s="509"/>
      <c r="L1085" s="513"/>
      <c r="M1085" s="509">
        <f t="shared" si="99"/>
        <v>0</v>
      </c>
      <c r="N1085" s="513"/>
      <c r="O1085" s="509">
        <f t="shared" si="100"/>
        <v>0</v>
      </c>
      <c r="P1085" s="509">
        <f t="shared" si="101"/>
        <v>0</v>
      </c>
      <c r="Q1085" s="471"/>
    </row>
    <row r="1086" spans="3:17">
      <c r="C1086" s="505">
        <f>IF(D1047="","-",+C1085+1)</f>
        <v>2048</v>
      </c>
      <c r="D1086" s="469">
        <f t="shared" si="102"/>
        <v>1564858.6446428504</v>
      </c>
      <c r="E1086" s="511">
        <f t="shared" si="103"/>
        <v>170711.85214285715</v>
      </c>
      <c r="F1086" s="511">
        <f t="shared" si="96"/>
        <v>1394146.7924999932</v>
      </c>
      <c r="G1086" s="469">
        <f t="shared" si="97"/>
        <v>1479502.7185714217</v>
      </c>
      <c r="H1086" s="506">
        <f>+J1048*G1086+E1086</f>
        <v>392587.35208140069</v>
      </c>
      <c r="I1086" s="512">
        <f>+J1049*G1086+E1086</f>
        <v>392587.35208140069</v>
      </c>
      <c r="J1086" s="509">
        <f t="shared" si="98"/>
        <v>0</v>
      </c>
      <c r="K1086" s="509"/>
      <c r="L1086" s="513"/>
      <c r="M1086" s="509">
        <f t="shared" si="99"/>
        <v>0</v>
      </c>
      <c r="N1086" s="513"/>
      <c r="O1086" s="509">
        <f t="shared" si="100"/>
        <v>0</v>
      </c>
      <c r="P1086" s="509">
        <f t="shared" si="101"/>
        <v>0</v>
      </c>
      <c r="Q1086" s="471"/>
    </row>
    <row r="1087" spans="3:17">
      <c r="C1087" s="505">
        <f>IF(D1047="","-",+C1086+1)</f>
        <v>2049</v>
      </c>
      <c r="D1087" s="469">
        <f t="shared" si="102"/>
        <v>1394146.7924999932</v>
      </c>
      <c r="E1087" s="511">
        <f t="shared" si="103"/>
        <v>170711.85214285715</v>
      </c>
      <c r="F1087" s="511">
        <f t="shared" si="96"/>
        <v>1223434.9403571361</v>
      </c>
      <c r="G1087" s="469">
        <f t="shared" si="97"/>
        <v>1308790.8664285648</v>
      </c>
      <c r="H1087" s="506">
        <f>+J1048*G1087+E1087</f>
        <v>366986.33285772253</v>
      </c>
      <c r="I1087" s="512">
        <f>+J1049*G1087+E1087</f>
        <v>366986.33285772253</v>
      </c>
      <c r="J1087" s="509">
        <f t="shared" si="98"/>
        <v>0</v>
      </c>
      <c r="K1087" s="509"/>
      <c r="L1087" s="513"/>
      <c r="M1087" s="509">
        <f t="shared" si="99"/>
        <v>0</v>
      </c>
      <c r="N1087" s="513"/>
      <c r="O1087" s="509">
        <f t="shared" si="100"/>
        <v>0</v>
      </c>
      <c r="P1087" s="509">
        <f t="shared" si="101"/>
        <v>0</v>
      </c>
      <c r="Q1087" s="471"/>
    </row>
    <row r="1088" spans="3:17">
      <c r="C1088" s="505">
        <f>IF(D1047="","-",+C1087+1)</f>
        <v>2050</v>
      </c>
      <c r="D1088" s="469">
        <f t="shared" si="102"/>
        <v>1223434.9403571361</v>
      </c>
      <c r="E1088" s="511">
        <f t="shared" si="103"/>
        <v>170711.85214285715</v>
      </c>
      <c r="F1088" s="511">
        <f t="shared" si="96"/>
        <v>1052723.0882142789</v>
      </c>
      <c r="G1088" s="469">
        <f t="shared" si="97"/>
        <v>1138079.0142857074</v>
      </c>
      <c r="H1088" s="506">
        <f>+J1048*G1088+E1088</f>
        <v>341385.31363404426</v>
      </c>
      <c r="I1088" s="512">
        <f>+J1049*G1088+E1088</f>
        <v>341385.31363404426</v>
      </c>
      <c r="J1088" s="509">
        <f t="shared" si="98"/>
        <v>0</v>
      </c>
      <c r="K1088" s="509"/>
      <c r="L1088" s="513"/>
      <c r="M1088" s="509">
        <f t="shared" si="99"/>
        <v>0</v>
      </c>
      <c r="N1088" s="513"/>
      <c r="O1088" s="509">
        <f t="shared" si="100"/>
        <v>0</v>
      </c>
      <c r="P1088" s="509">
        <f t="shared" si="101"/>
        <v>0</v>
      </c>
      <c r="Q1088" s="471"/>
    </row>
    <row r="1089" spans="3:17">
      <c r="C1089" s="505">
        <f>IF(D1047="","-",+C1088+1)</f>
        <v>2051</v>
      </c>
      <c r="D1089" s="469">
        <f t="shared" si="102"/>
        <v>1052723.0882142789</v>
      </c>
      <c r="E1089" s="511">
        <f t="shared" si="103"/>
        <v>170711.85214285715</v>
      </c>
      <c r="F1089" s="511">
        <f t="shared" si="96"/>
        <v>882011.23607142176</v>
      </c>
      <c r="G1089" s="469">
        <f t="shared" si="97"/>
        <v>967367.16214285034</v>
      </c>
      <c r="H1089" s="506">
        <f>+J1048*G1089+E1089</f>
        <v>315784.29441036604</v>
      </c>
      <c r="I1089" s="512">
        <f>+J1049*G1089+E1089</f>
        <v>315784.29441036604</v>
      </c>
      <c r="J1089" s="509">
        <f t="shared" si="98"/>
        <v>0</v>
      </c>
      <c r="K1089" s="509"/>
      <c r="L1089" s="513"/>
      <c r="M1089" s="509">
        <f t="shared" si="99"/>
        <v>0</v>
      </c>
      <c r="N1089" s="513"/>
      <c r="O1089" s="509">
        <f t="shared" si="100"/>
        <v>0</v>
      </c>
      <c r="P1089" s="509">
        <f t="shared" si="101"/>
        <v>0</v>
      </c>
      <c r="Q1089" s="471"/>
    </row>
    <row r="1090" spans="3:17">
      <c r="C1090" s="505">
        <f>IF(D1047="","-",+C1089+1)</f>
        <v>2052</v>
      </c>
      <c r="D1090" s="469">
        <f t="shared" si="102"/>
        <v>882011.23607142176</v>
      </c>
      <c r="E1090" s="511">
        <f t="shared" si="103"/>
        <v>170711.85214285715</v>
      </c>
      <c r="F1090" s="511">
        <f t="shared" si="96"/>
        <v>711299.38392856461</v>
      </c>
      <c r="G1090" s="469">
        <f t="shared" si="97"/>
        <v>796655.30999999319</v>
      </c>
      <c r="H1090" s="506">
        <f>+J1048*G1090+E1090</f>
        <v>290183.27518668782</v>
      </c>
      <c r="I1090" s="512">
        <f>+J1049*G1090+E1090</f>
        <v>290183.27518668782</v>
      </c>
      <c r="J1090" s="509">
        <f t="shared" si="98"/>
        <v>0</v>
      </c>
      <c r="K1090" s="509"/>
      <c r="L1090" s="513"/>
      <c r="M1090" s="509">
        <f t="shared" si="99"/>
        <v>0</v>
      </c>
      <c r="N1090" s="513"/>
      <c r="O1090" s="509">
        <f t="shared" si="100"/>
        <v>0</v>
      </c>
      <c r="P1090" s="509">
        <f t="shared" si="101"/>
        <v>0</v>
      </c>
      <c r="Q1090" s="471"/>
    </row>
    <row r="1091" spans="3:17">
      <c r="C1091" s="505">
        <f>IF(D1047="","-",+C1090+1)</f>
        <v>2053</v>
      </c>
      <c r="D1091" s="469">
        <f t="shared" si="102"/>
        <v>711299.38392856461</v>
      </c>
      <c r="E1091" s="511">
        <f t="shared" si="103"/>
        <v>170711.85214285715</v>
      </c>
      <c r="F1091" s="511">
        <f t="shared" si="96"/>
        <v>540587.53178570746</v>
      </c>
      <c r="G1091" s="469">
        <f t="shared" si="97"/>
        <v>625943.45785713603</v>
      </c>
      <c r="H1091" s="506">
        <f>+J1048*G1091+E1091</f>
        <v>264582.25596300961</v>
      </c>
      <c r="I1091" s="512">
        <f>+J1049*G1091+E1091</f>
        <v>264582.25596300961</v>
      </c>
      <c r="J1091" s="509">
        <f t="shared" si="98"/>
        <v>0</v>
      </c>
      <c r="K1091" s="509"/>
      <c r="L1091" s="513"/>
      <c r="M1091" s="509">
        <f t="shared" si="99"/>
        <v>0</v>
      </c>
      <c r="N1091" s="513"/>
      <c r="O1091" s="509">
        <f t="shared" si="100"/>
        <v>0</v>
      </c>
      <c r="P1091" s="509">
        <f t="shared" si="101"/>
        <v>0</v>
      </c>
      <c r="Q1091" s="471"/>
    </row>
    <row r="1092" spans="3:17">
      <c r="C1092" s="505">
        <f>IF(D1047="","-",+C1091+1)</f>
        <v>2054</v>
      </c>
      <c r="D1092" s="469">
        <f t="shared" si="102"/>
        <v>540587.53178570746</v>
      </c>
      <c r="E1092" s="511">
        <f t="shared" si="103"/>
        <v>170711.85214285715</v>
      </c>
      <c r="F1092" s="511">
        <f t="shared" si="96"/>
        <v>369875.6796428503</v>
      </c>
      <c r="G1092" s="469">
        <f t="shared" si="97"/>
        <v>455231.60571427888</v>
      </c>
      <c r="H1092" s="506">
        <f>+J1048*G1092+E1092</f>
        <v>238981.23673933139</v>
      </c>
      <c r="I1092" s="512">
        <f>+J1049*G1092+E1092</f>
        <v>238981.23673933139</v>
      </c>
      <c r="J1092" s="509">
        <f t="shared" si="98"/>
        <v>0</v>
      </c>
      <c r="K1092" s="509"/>
      <c r="L1092" s="513"/>
      <c r="M1092" s="509">
        <f t="shared" si="99"/>
        <v>0</v>
      </c>
      <c r="N1092" s="513"/>
      <c r="O1092" s="509">
        <f t="shared" si="100"/>
        <v>0</v>
      </c>
      <c r="P1092" s="509">
        <f t="shared" si="101"/>
        <v>0</v>
      </c>
      <c r="Q1092" s="471"/>
    </row>
    <row r="1093" spans="3:17">
      <c r="C1093" s="505">
        <f>IF(D1047="","-",+C1092+1)</f>
        <v>2055</v>
      </c>
      <c r="D1093" s="469">
        <f t="shared" si="102"/>
        <v>369875.6796428503</v>
      </c>
      <c r="E1093" s="511">
        <f t="shared" si="103"/>
        <v>170711.85214285715</v>
      </c>
      <c r="F1093" s="511">
        <f t="shared" si="96"/>
        <v>199163.82749999315</v>
      </c>
      <c r="G1093" s="469">
        <f t="shared" si="97"/>
        <v>284519.75357142172</v>
      </c>
      <c r="H1093" s="506">
        <f>+J1048*G1093+E1093</f>
        <v>213380.21751565317</v>
      </c>
      <c r="I1093" s="512">
        <f>+J1049*G1093+E1093</f>
        <v>213380.21751565317</v>
      </c>
      <c r="J1093" s="509">
        <f t="shared" si="98"/>
        <v>0</v>
      </c>
      <c r="K1093" s="509"/>
      <c r="L1093" s="513"/>
      <c r="M1093" s="509">
        <f t="shared" si="99"/>
        <v>0</v>
      </c>
      <c r="N1093" s="513"/>
      <c r="O1093" s="509">
        <f t="shared" si="100"/>
        <v>0</v>
      </c>
      <c r="P1093" s="509">
        <f t="shared" si="101"/>
        <v>0</v>
      </c>
      <c r="Q1093" s="471"/>
    </row>
    <row r="1094" spans="3:17">
      <c r="C1094" s="505">
        <f>IF(D1047="","-",+C1093+1)</f>
        <v>2056</v>
      </c>
      <c r="D1094" s="469">
        <f t="shared" si="102"/>
        <v>199163.82749999315</v>
      </c>
      <c r="E1094" s="511">
        <f t="shared" si="103"/>
        <v>170711.85214285715</v>
      </c>
      <c r="F1094" s="511">
        <f t="shared" si="96"/>
        <v>28451.975357135991</v>
      </c>
      <c r="G1094" s="469">
        <f t="shared" si="97"/>
        <v>113807.90142856457</v>
      </c>
      <c r="H1094" s="506">
        <f>+J1048*G1094+E1094</f>
        <v>187779.19829197493</v>
      </c>
      <c r="I1094" s="512">
        <f>+J1049*G1094+E1094</f>
        <v>187779.19829197493</v>
      </c>
      <c r="J1094" s="509">
        <f t="shared" si="98"/>
        <v>0</v>
      </c>
      <c r="K1094" s="509"/>
      <c r="L1094" s="513"/>
      <c r="M1094" s="509">
        <f t="shared" si="99"/>
        <v>0</v>
      </c>
      <c r="N1094" s="513"/>
      <c r="O1094" s="509">
        <f t="shared" si="100"/>
        <v>0</v>
      </c>
      <c r="P1094" s="509">
        <f t="shared" si="101"/>
        <v>0</v>
      </c>
      <c r="Q1094" s="471"/>
    </row>
    <row r="1095" spans="3:17">
      <c r="C1095" s="505">
        <f>IF(D1047="","-",+C1094+1)</f>
        <v>2057</v>
      </c>
      <c r="D1095" s="469">
        <f t="shared" si="102"/>
        <v>28451.975357135991</v>
      </c>
      <c r="E1095" s="511">
        <f t="shared" si="103"/>
        <v>28451.975357135991</v>
      </c>
      <c r="F1095" s="511">
        <f t="shared" si="96"/>
        <v>0</v>
      </c>
      <c r="G1095" s="469">
        <f t="shared" si="97"/>
        <v>14225.987678567995</v>
      </c>
      <c r="H1095" s="506">
        <f>+J1048*G1095+E1095</f>
        <v>30585.393625775327</v>
      </c>
      <c r="I1095" s="512">
        <f>+J1049*G1095+E1095</f>
        <v>30585.393625775327</v>
      </c>
      <c r="J1095" s="509">
        <f t="shared" si="98"/>
        <v>0</v>
      </c>
      <c r="K1095" s="509"/>
      <c r="L1095" s="513"/>
      <c r="M1095" s="509">
        <f t="shared" si="99"/>
        <v>0</v>
      </c>
      <c r="N1095" s="513"/>
      <c r="O1095" s="509">
        <f t="shared" si="100"/>
        <v>0</v>
      </c>
      <c r="P1095" s="509">
        <f t="shared" si="101"/>
        <v>0</v>
      </c>
      <c r="Q1095" s="471"/>
    </row>
    <row r="1096" spans="3:17">
      <c r="C1096" s="505">
        <f>IF(D1047="","-",+C1095+1)</f>
        <v>2058</v>
      </c>
      <c r="D1096" s="469">
        <f t="shared" si="102"/>
        <v>0</v>
      </c>
      <c r="E1096" s="511">
        <f t="shared" si="103"/>
        <v>0</v>
      </c>
      <c r="F1096" s="511">
        <f t="shared" si="96"/>
        <v>0</v>
      </c>
      <c r="G1096" s="469">
        <f t="shared" si="97"/>
        <v>0</v>
      </c>
      <c r="H1096" s="506">
        <f>+J1048*G1096+E1096</f>
        <v>0</v>
      </c>
      <c r="I1096" s="512">
        <f>+J1049*G1096+E1096</f>
        <v>0</v>
      </c>
      <c r="J1096" s="509">
        <f t="shared" si="98"/>
        <v>0</v>
      </c>
      <c r="K1096" s="509"/>
      <c r="L1096" s="513"/>
      <c r="M1096" s="509">
        <f t="shared" si="99"/>
        <v>0</v>
      </c>
      <c r="N1096" s="513"/>
      <c r="O1096" s="509">
        <f t="shared" si="100"/>
        <v>0</v>
      </c>
      <c r="P1096" s="509">
        <f t="shared" si="101"/>
        <v>0</v>
      </c>
      <c r="Q1096" s="471"/>
    </row>
    <row r="1097" spans="3:17">
      <c r="C1097" s="505">
        <f>IF(D1047="","-",+C1096+1)</f>
        <v>2059</v>
      </c>
      <c r="D1097" s="469">
        <f t="shared" si="102"/>
        <v>0</v>
      </c>
      <c r="E1097" s="511">
        <f t="shared" si="103"/>
        <v>0</v>
      </c>
      <c r="F1097" s="511">
        <f t="shared" si="96"/>
        <v>0</v>
      </c>
      <c r="G1097" s="469">
        <f t="shared" si="97"/>
        <v>0</v>
      </c>
      <c r="H1097" s="506">
        <f>+J1048*G1097+E1097</f>
        <v>0</v>
      </c>
      <c r="I1097" s="512">
        <f>+J1049*G1097+E1097</f>
        <v>0</v>
      </c>
      <c r="J1097" s="509">
        <f t="shared" si="98"/>
        <v>0</v>
      </c>
      <c r="K1097" s="509"/>
      <c r="L1097" s="513"/>
      <c r="M1097" s="509">
        <f t="shared" si="99"/>
        <v>0</v>
      </c>
      <c r="N1097" s="513"/>
      <c r="O1097" s="509">
        <f t="shared" si="100"/>
        <v>0</v>
      </c>
      <c r="P1097" s="509">
        <f t="shared" si="101"/>
        <v>0</v>
      </c>
      <c r="Q1097" s="471"/>
    </row>
    <row r="1098" spans="3:17">
      <c r="C1098" s="505">
        <f>IF(D1047="","-",+C1097+1)</f>
        <v>2060</v>
      </c>
      <c r="D1098" s="469">
        <f t="shared" si="102"/>
        <v>0</v>
      </c>
      <c r="E1098" s="511">
        <f t="shared" si="103"/>
        <v>0</v>
      </c>
      <c r="F1098" s="511">
        <f t="shared" si="96"/>
        <v>0</v>
      </c>
      <c r="G1098" s="469">
        <f t="shared" si="97"/>
        <v>0</v>
      </c>
      <c r="H1098" s="506">
        <f>+J1048*G1098+E1098</f>
        <v>0</v>
      </c>
      <c r="I1098" s="512">
        <f>+J1049*G1098+E1098</f>
        <v>0</v>
      </c>
      <c r="J1098" s="509">
        <f t="shared" si="98"/>
        <v>0</v>
      </c>
      <c r="K1098" s="509"/>
      <c r="L1098" s="513"/>
      <c r="M1098" s="509">
        <f t="shared" si="99"/>
        <v>0</v>
      </c>
      <c r="N1098" s="513"/>
      <c r="O1098" s="509">
        <f t="shared" si="100"/>
        <v>0</v>
      </c>
      <c r="P1098" s="509">
        <f t="shared" si="101"/>
        <v>0</v>
      </c>
      <c r="Q1098" s="471"/>
    </row>
    <row r="1099" spans="3:17">
      <c r="C1099" s="505">
        <f>IF(D1047="","-",+C1098+1)</f>
        <v>2061</v>
      </c>
      <c r="D1099" s="469">
        <f t="shared" si="102"/>
        <v>0</v>
      </c>
      <c r="E1099" s="511">
        <f t="shared" si="103"/>
        <v>0</v>
      </c>
      <c r="F1099" s="511">
        <f t="shared" si="96"/>
        <v>0</v>
      </c>
      <c r="G1099" s="469">
        <f t="shared" si="97"/>
        <v>0</v>
      </c>
      <c r="H1099" s="506">
        <f>+J1048*G1099+E1099</f>
        <v>0</v>
      </c>
      <c r="I1099" s="512">
        <f>+J1049*G1099+E1099</f>
        <v>0</v>
      </c>
      <c r="J1099" s="509">
        <f t="shared" si="98"/>
        <v>0</v>
      </c>
      <c r="K1099" s="509"/>
      <c r="L1099" s="513"/>
      <c r="M1099" s="509">
        <f t="shared" si="99"/>
        <v>0</v>
      </c>
      <c r="N1099" s="513"/>
      <c r="O1099" s="509">
        <f t="shared" si="100"/>
        <v>0</v>
      </c>
      <c r="P1099" s="509">
        <f t="shared" si="101"/>
        <v>0</v>
      </c>
      <c r="Q1099" s="471"/>
    </row>
    <row r="1100" spans="3:17">
      <c r="C1100" s="505">
        <f>IF(D1047="","-",+C1099+1)</f>
        <v>2062</v>
      </c>
      <c r="D1100" s="469">
        <f t="shared" si="102"/>
        <v>0</v>
      </c>
      <c r="E1100" s="511">
        <f t="shared" si="103"/>
        <v>0</v>
      </c>
      <c r="F1100" s="511">
        <f t="shared" si="96"/>
        <v>0</v>
      </c>
      <c r="G1100" s="469">
        <f t="shared" si="97"/>
        <v>0</v>
      </c>
      <c r="H1100" s="506">
        <f>+J1048*G1100+E1100</f>
        <v>0</v>
      </c>
      <c r="I1100" s="512">
        <f>+J1049*G1100+E1100</f>
        <v>0</v>
      </c>
      <c r="J1100" s="509">
        <f t="shared" si="98"/>
        <v>0</v>
      </c>
      <c r="K1100" s="509"/>
      <c r="L1100" s="513"/>
      <c r="M1100" s="509">
        <f t="shared" si="99"/>
        <v>0</v>
      </c>
      <c r="N1100" s="513"/>
      <c r="O1100" s="509">
        <f t="shared" si="100"/>
        <v>0</v>
      </c>
      <c r="P1100" s="509">
        <f t="shared" si="101"/>
        <v>0</v>
      </c>
      <c r="Q1100" s="471"/>
    </row>
    <row r="1101" spans="3:17">
      <c r="C1101" s="505">
        <f>IF(D1047="","-",+C1100+1)</f>
        <v>2063</v>
      </c>
      <c r="D1101" s="469">
        <f t="shared" si="102"/>
        <v>0</v>
      </c>
      <c r="E1101" s="511">
        <f t="shared" si="103"/>
        <v>0</v>
      </c>
      <c r="F1101" s="511">
        <f t="shared" si="96"/>
        <v>0</v>
      </c>
      <c r="G1101" s="469">
        <f t="shared" si="97"/>
        <v>0</v>
      </c>
      <c r="H1101" s="506">
        <f>+J1048*G1101+E1101</f>
        <v>0</v>
      </c>
      <c r="I1101" s="512">
        <f>+J1049*G1101+E1101</f>
        <v>0</v>
      </c>
      <c r="J1101" s="509">
        <f t="shared" si="98"/>
        <v>0</v>
      </c>
      <c r="K1101" s="509"/>
      <c r="L1101" s="513"/>
      <c r="M1101" s="509">
        <f t="shared" si="99"/>
        <v>0</v>
      </c>
      <c r="N1101" s="513"/>
      <c r="O1101" s="509">
        <f t="shared" si="100"/>
        <v>0</v>
      </c>
      <c r="P1101" s="509">
        <f t="shared" si="101"/>
        <v>0</v>
      </c>
      <c r="Q1101" s="471"/>
    </row>
    <row r="1102" spans="3:17">
      <c r="C1102" s="505">
        <f>IF(D1047="","-",+C1101+1)</f>
        <v>2064</v>
      </c>
      <c r="D1102" s="469">
        <f t="shared" si="102"/>
        <v>0</v>
      </c>
      <c r="E1102" s="511">
        <f t="shared" si="103"/>
        <v>0</v>
      </c>
      <c r="F1102" s="511">
        <f t="shared" si="96"/>
        <v>0</v>
      </c>
      <c r="G1102" s="469">
        <f t="shared" si="97"/>
        <v>0</v>
      </c>
      <c r="H1102" s="506">
        <f>+J1048*G1102+E1102</f>
        <v>0</v>
      </c>
      <c r="I1102" s="512">
        <f>+J1049*G1102+E1102</f>
        <v>0</v>
      </c>
      <c r="J1102" s="509">
        <f t="shared" si="98"/>
        <v>0</v>
      </c>
      <c r="K1102" s="509"/>
      <c r="L1102" s="513"/>
      <c r="M1102" s="509">
        <f t="shared" si="99"/>
        <v>0</v>
      </c>
      <c r="N1102" s="513"/>
      <c r="O1102" s="509">
        <f t="shared" si="100"/>
        <v>0</v>
      </c>
      <c r="P1102" s="509">
        <f t="shared" si="101"/>
        <v>0</v>
      </c>
      <c r="Q1102" s="471"/>
    </row>
    <row r="1103" spans="3:17">
      <c r="C1103" s="505">
        <f>IF(D1047="","-",+C1102+1)</f>
        <v>2065</v>
      </c>
      <c r="D1103" s="469">
        <f t="shared" si="102"/>
        <v>0</v>
      </c>
      <c r="E1103" s="511">
        <f t="shared" si="103"/>
        <v>0</v>
      </c>
      <c r="F1103" s="511">
        <f t="shared" si="96"/>
        <v>0</v>
      </c>
      <c r="G1103" s="469">
        <f t="shared" si="97"/>
        <v>0</v>
      </c>
      <c r="H1103" s="506">
        <f>+J1048*G1103+E1103</f>
        <v>0</v>
      </c>
      <c r="I1103" s="512">
        <f>+J1049*G1103+E1103</f>
        <v>0</v>
      </c>
      <c r="J1103" s="509">
        <f t="shared" si="98"/>
        <v>0</v>
      </c>
      <c r="K1103" s="509"/>
      <c r="L1103" s="513"/>
      <c r="M1103" s="509">
        <f t="shared" si="99"/>
        <v>0</v>
      </c>
      <c r="N1103" s="513"/>
      <c r="O1103" s="509">
        <f t="shared" si="100"/>
        <v>0</v>
      </c>
      <c r="P1103" s="509">
        <f t="shared" si="101"/>
        <v>0</v>
      </c>
      <c r="Q1103" s="471"/>
    </row>
    <row r="1104" spans="3:17">
      <c r="C1104" s="505">
        <f>IF(D1047="","-",+C1103+1)</f>
        <v>2066</v>
      </c>
      <c r="D1104" s="469">
        <f t="shared" si="102"/>
        <v>0</v>
      </c>
      <c r="E1104" s="511">
        <f t="shared" si="103"/>
        <v>0</v>
      </c>
      <c r="F1104" s="511">
        <f t="shared" si="96"/>
        <v>0</v>
      </c>
      <c r="G1104" s="469">
        <f t="shared" si="97"/>
        <v>0</v>
      </c>
      <c r="H1104" s="506">
        <f>+J1048*G1104+E1104</f>
        <v>0</v>
      </c>
      <c r="I1104" s="512">
        <f>+J1049*G1104+E1104</f>
        <v>0</v>
      </c>
      <c r="J1104" s="509">
        <f t="shared" si="98"/>
        <v>0</v>
      </c>
      <c r="K1104" s="509"/>
      <c r="L1104" s="513"/>
      <c r="M1104" s="509">
        <f t="shared" si="99"/>
        <v>0</v>
      </c>
      <c r="N1104" s="513"/>
      <c r="O1104" s="509">
        <f t="shared" si="100"/>
        <v>0</v>
      </c>
      <c r="P1104" s="509">
        <f t="shared" si="101"/>
        <v>0</v>
      </c>
      <c r="Q1104" s="471"/>
    </row>
    <row r="1105" spans="1:17">
      <c r="C1105" s="505">
        <f>IF(D1047="","-",+C1104+1)</f>
        <v>2067</v>
      </c>
      <c r="D1105" s="469">
        <f t="shared" si="102"/>
        <v>0</v>
      </c>
      <c r="E1105" s="511">
        <f t="shared" si="103"/>
        <v>0</v>
      </c>
      <c r="F1105" s="511">
        <f t="shared" si="96"/>
        <v>0</v>
      </c>
      <c r="G1105" s="469">
        <f t="shared" si="97"/>
        <v>0</v>
      </c>
      <c r="H1105" s="506">
        <f>+J1048*G1105+E1105</f>
        <v>0</v>
      </c>
      <c r="I1105" s="512">
        <f>+J1049*G1105+E1105</f>
        <v>0</v>
      </c>
      <c r="J1105" s="509">
        <f t="shared" si="98"/>
        <v>0</v>
      </c>
      <c r="K1105" s="509"/>
      <c r="L1105" s="513"/>
      <c r="M1105" s="509">
        <f t="shared" si="99"/>
        <v>0</v>
      </c>
      <c r="N1105" s="513"/>
      <c r="O1105" s="509">
        <f t="shared" si="100"/>
        <v>0</v>
      </c>
      <c r="P1105" s="509">
        <f t="shared" si="101"/>
        <v>0</v>
      </c>
      <c r="Q1105" s="471"/>
    </row>
    <row r="1106" spans="1:17">
      <c r="C1106" s="505">
        <f>IF(D1047="","-",+C1105+1)</f>
        <v>2068</v>
      </c>
      <c r="D1106" s="469">
        <f t="shared" si="102"/>
        <v>0</v>
      </c>
      <c r="E1106" s="511">
        <f t="shared" si="103"/>
        <v>0</v>
      </c>
      <c r="F1106" s="511">
        <f t="shared" si="96"/>
        <v>0</v>
      </c>
      <c r="G1106" s="469">
        <f t="shared" si="97"/>
        <v>0</v>
      </c>
      <c r="H1106" s="506">
        <f>+J1048*G1106+E1106</f>
        <v>0</v>
      </c>
      <c r="I1106" s="512">
        <f>+J1049*G1106+E1106</f>
        <v>0</v>
      </c>
      <c r="J1106" s="509">
        <f t="shared" si="98"/>
        <v>0</v>
      </c>
      <c r="K1106" s="509"/>
      <c r="L1106" s="513"/>
      <c r="M1106" s="509">
        <f t="shared" si="99"/>
        <v>0</v>
      </c>
      <c r="N1106" s="513"/>
      <c r="O1106" s="509">
        <f t="shared" si="100"/>
        <v>0</v>
      </c>
      <c r="P1106" s="509">
        <f t="shared" si="101"/>
        <v>0</v>
      </c>
      <c r="Q1106" s="471"/>
    </row>
    <row r="1107" spans="1:17">
      <c r="C1107" s="505">
        <f>IF(D1047="","-",+C1106+1)</f>
        <v>2069</v>
      </c>
      <c r="D1107" s="469">
        <f t="shared" si="102"/>
        <v>0</v>
      </c>
      <c r="E1107" s="511">
        <f t="shared" si="103"/>
        <v>0</v>
      </c>
      <c r="F1107" s="511">
        <f t="shared" si="96"/>
        <v>0</v>
      </c>
      <c r="G1107" s="469">
        <f t="shared" si="97"/>
        <v>0</v>
      </c>
      <c r="H1107" s="506">
        <f>+J1048*G1107+E1107</f>
        <v>0</v>
      </c>
      <c r="I1107" s="512">
        <f>+J1049*G1107+E1107</f>
        <v>0</v>
      </c>
      <c r="J1107" s="509">
        <f t="shared" si="98"/>
        <v>0</v>
      </c>
      <c r="K1107" s="509"/>
      <c r="L1107" s="513"/>
      <c r="M1107" s="509">
        <f t="shared" si="99"/>
        <v>0</v>
      </c>
      <c r="N1107" s="513"/>
      <c r="O1107" s="509">
        <f t="shared" si="100"/>
        <v>0</v>
      </c>
      <c r="P1107" s="509">
        <f t="shared" si="101"/>
        <v>0</v>
      </c>
      <c r="Q1107" s="471"/>
    </row>
    <row r="1108" spans="1:17">
      <c r="C1108" s="505">
        <f>IF(D1047="","-",+C1107+1)</f>
        <v>2070</v>
      </c>
      <c r="D1108" s="469">
        <f t="shared" si="102"/>
        <v>0</v>
      </c>
      <c r="E1108" s="511">
        <f t="shared" si="103"/>
        <v>0</v>
      </c>
      <c r="F1108" s="511">
        <f t="shared" si="96"/>
        <v>0</v>
      </c>
      <c r="G1108" s="469">
        <f t="shared" si="97"/>
        <v>0</v>
      </c>
      <c r="H1108" s="506">
        <f>+J1048*G1108+E1108</f>
        <v>0</v>
      </c>
      <c r="I1108" s="512">
        <f>+J1049*G1108+E1108</f>
        <v>0</v>
      </c>
      <c r="J1108" s="509">
        <f t="shared" si="98"/>
        <v>0</v>
      </c>
      <c r="K1108" s="509"/>
      <c r="L1108" s="513"/>
      <c r="M1108" s="509">
        <f t="shared" si="99"/>
        <v>0</v>
      </c>
      <c r="N1108" s="513"/>
      <c r="O1108" s="509">
        <f t="shared" si="100"/>
        <v>0</v>
      </c>
      <c r="P1108" s="509">
        <f t="shared" si="101"/>
        <v>0</v>
      </c>
      <c r="Q1108" s="471"/>
    </row>
    <row r="1109" spans="1:17">
      <c r="C1109" s="505">
        <f>IF(D1047="","-",+C1108+1)</f>
        <v>2071</v>
      </c>
      <c r="D1109" s="469">
        <f t="shared" si="102"/>
        <v>0</v>
      </c>
      <c r="E1109" s="511">
        <f t="shared" si="103"/>
        <v>0</v>
      </c>
      <c r="F1109" s="511">
        <f t="shared" si="96"/>
        <v>0</v>
      </c>
      <c r="G1109" s="469">
        <f t="shared" si="97"/>
        <v>0</v>
      </c>
      <c r="H1109" s="506">
        <f>+J1048*G1109+E1109</f>
        <v>0</v>
      </c>
      <c r="I1109" s="512">
        <f>+J1049*G1109+E1109</f>
        <v>0</v>
      </c>
      <c r="J1109" s="509">
        <f t="shared" si="98"/>
        <v>0</v>
      </c>
      <c r="K1109" s="509"/>
      <c r="L1109" s="513"/>
      <c r="M1109" s="509">
        <f t="shared" si="99"/>
        <v>0</v>
      </c>
      <c r="N1109" s="513"/>
      <c r="O1109" s="509">
        <f t="shared" si="100"/>
        <v>0</v>
      </c>
      <c r="P1109" s="509">
        <f t="shared" si="101"/>
        <v>0</v>
      </c>
      <c r="Q1109" s="471"/>
    </row>
    <row r="1110" spans="1:17">
      <c r="C1110" s="505">
        <f>IF(D1047="","-",+C1109+1)</f>
        <v>2072</v>
      </c>
      <c r="D1110" s="469">
        <f t="shared" si="102"/>
        <v>0</v>
      </c>
      <c r="E1110" s="511">
        <f t="shared" si="103"/>
        <v>0</v>
      </c>
      <c r="F1110" s="511">
        <f t="shared" si="96"/>
        <v>0</v>
      </c>
      <c r="G1110" s="469">
        <f t="shared" si="97"/>
        <v>0</v>
      </c>
      <c r="H1110" s="506">
        <f>+J1048*G1110+E1110</f>
        <v>0</v>
      </c>
      <c r="I1110" s="512">
        <f>+J1049*G1110+E1110</f>
        <v>0</v>
      </c>
      <c r="J1110" s="509">
        <f t="shared" si="98"/>
        <v>0</v>
      </c>
      <c r="K1110" s="509"/>
      <c r="L1110" s="513"/>
      <c r="M1110" s="509">
        <f t="shared" si="99"/>
        <v>0</v>
      </c>
      <c r="N1110" s="513"/>
      <c r="O1110" s="509">
        <f t="shared" si="100"/>
        <v>0</v>
      </c>
      <c r="P1110" s="509">
        <f t="shared" si="101"/>
        <v>0</v>
      </c>
      <c r="Q1110" s="471"/>
    </row>
    <row r="1111" spans="1:17">
      <c r="C1111" s="505">
        <f>IF(D1047="","-",+C1110+1)</f>
        <v>2073</v>
      </c>
      <c r="D1111" s="469">
        <f t="shared" si="102"/>
        <v>0</v>
      </c>
      <c r="E1111" s="511">
        <f t="shared" si="103"/>
        <v>0</v>
      </c>
      <c r="F1111" s="511">
        <f t="shared" si="96"/>
        <v>0</v>
      </c>
      <c r="G1111" s="469">
        <f t="shared" si="97"/>
        <v>0</v>
      </c>
      <c r="H1111" s="506">
        <f>+J1048*G1111+E1111</f>
        <v>0</v>
      </c>
      <c r="I1111" s="512">
        <f>+J1049*G1111+E1111</f>
        <v>0</v>
      </c>
      <c r="J1111" s="509">
        <f t="shared" si="98"/>
        <v>0</v>
      </c>
      <c r="K1111" s="509"/>
      <c r="L1111" s="513"/>
      <c r="M1111" s="509">
        <f t="shared" si="99"/>
        <v>0</v>
      </c>
      <c r="N1111" s="513"/>
      <c r="O1111" s="509">
        <f t="shared" si="100"/>
        <v>0</v>
      </c>
      <c r="P1111" s="509">
        <f t="shared" si="101"/>
        <v>0</v>
      </c>
      <c r="Q1111" s="471"/>
    </row>
    <row r="1112" spans="1:17" ht="13.5" thickBot="1">
      <c r="C1112" s="515">
        <f>IF(D1047="","-",+C1111+1)</f>
        <v>2074</v>
      </c>
      <c r="D1112" s="516">
        <f t="shared" si="102"/>
        <v>0</v>
      </c>
      <c r="E1112" s="976">
        <f t="shared" si="103"/>
        <v>0</v>
      </c>
      <c r="F1112" s="517">
        <f t="shared" si="96"/>
        <v>0</v>
      </c>
      <c r="G1112" s="516">
        <f t="shared" si="97"/>
        <v>0</v>
      </c>
      <c r="H1112" s="518">
        <f>+J1048*G1112+E1112</f>
        <v>0</v>
      </c>
      <c r="I1112" s="518">
        <f>+J1049*G1112+E1112</f>
        <v>0</v>
      </c>
      <c r="J1112" s="519">
        <f t="shared" si="98"/>
        <v>0</v>
      </c>
      <c r="K1112" s="509"/>
      <c r="L1112" s="520"/>
      <c r="M1112" s="519">
        <f t="shared" si="99"/>
        <v>0</v>
      </c>
      <c r="N1112" s="520"/>
      <c r="O1112" s="519">
        <f t="shared" si="100"/>
        <v>0</v>
      </c>
      <c r="P1112" s="519">
        <f t="shared" si="101"/>
        <v>0</v>
      </c>
      <c r="Q1112" s="471"/>
    </row>
    <row r="1113" spans="1:17">
      <c r="C1113" s="469" t="s">
        <v>288</v>
      </c>
      <c r="D1113" s="467"/>
      <c r="E1113" s="467">
        <f>SUM(E1053:E1112)</f>
        <v>7169897.79</v>
      </c>
      <c r="F1113" s="467"/>
      <c r="G1113" s="467"/>
      <c r="H1113" s="467">
        <f>SUM(H1053:H1112)</f>
        <v>29929203.879849907</v>
      </c>
      <c r="I1113" s="467">
        <f>SUM(I1053:I1112)</f>
        <v>29929203.879849907</v>
      </c>
      <c r="J1113" s="467">
        <f>SUM(J1053:J1112)</f>
        <v>0</v>
      </c>
      <c r="K1113" s="467"/>
      <c r="L1113" s="467"/>
      <c r="M1113" s="467"/>
      <c r="N1113" s="467"/>
      <c r="O1113" s="467"/>
      <c r="Q1113" s="467"/>
    </row>
    <row r="1114" spans="1:17">
      <c r="D1114" s="79"/>
      <c r="E1114" s="4"/>
      <c r="F1114" s="4"/>
      <c r="G1114" s="4"/>
      <c r="H1114" s="4"/>
      <c r="I1114" s="452"/>
      <c r="J1114" s="452"/>
      <c r="K1114" s="467"/>
      <c r="L1114" s="452"/>
      <c r="M1114" s="452"/>
      <c r="N1114" s="452"/>
      <c r="O1114" s="452"/>
      <c r="Q1114" s="467"/>
    </row>
    <row r="1115" spans="1:17">
      <c r="C1115" s="4" t="s">
        <v>595</v>
      </c>
      <c r="D1115" s="79"/>
      <c r="E1115" s="4"/>
      <c r="F1115" s="4"/>
      <c r="G1115" s="4"/>
      <c r="H1115" s="4"/>
      <c r="I1115" s="452"/>
      <c r="J1115" s="452"/>
      <c r="K1115" s="467"/>
      <c r="L1115" s="452"/>
      <c r="M1115" s="452"/>
      <c r="N1115" s="452"/>
      <c r="O1115" s="452"/>
      <c r="Q1115" s="467"/>
    </row>
    <row r="1116" spans="1:17">
      <c r="D1116" s="79"/>
      <c r="E1116" s="4"/>
      <c r="F1116" s="4"/>
      <c r="G1116" s="4"/>
      <c r="H1116" s="4"/>
      <c r="I1116" s="452"/>
      <c r="J1116" s="452"/>
      <c r="K1116" s="467"/>
      <c r="L1116" s="452"/>
      <c r="M1116" s="452"/>
      <c r="N1116" s="452"/>
      <c r="O1116" s="452"/>
      <c r="Q1116" s="467"/>
    </row>
    <row r="1117" spans="1:17">
      <c r="C1117" s="4" t="s">
        <v>596</v>
      </c>
      <c r="D1117" s="469"/>
      <c r="E1117" s="469"/>
      <c r="F1117" s="469"/>
      <c r="G1117" s="469"/>
      <c r="H1117" s="467"/>
      <c r="I1117" s="467"/>
      <c r="J1117" s="471"/>
      <c r="K1117" s="471"/>
      <c r="L1117" s="471"/>
      <c r="M1117" s="471"/>
      <c r="N1117" s="471"/>
      <c r="O1117" s="471"/>
      <c r="Q1117" s="471"/>
    </row>
    <row r="1118" spans="1:17">
      <c r="C1118" s="4" t="s">
        <v>476</v>
      </c>
      <c r="D1118" s="469"/>
      <c r="E1118" s="469"/>
      <c r="F1118" s="469"/>
      <c r="G1118" s="469"/>
      <c r="H1118" s="467"/>
      <c r="I1118" s="467"/>
      <c r="J1118" s="471"/>
      <c r="K1118" s="471"/>
      <c r="L1118" s="471"/>
      <c r="M1118" s="471"/>
      <c r="N1118" s="471"/>
      <c r="O1118" s="471"/>
      <c r="Q1118" s="471"/>
    </row>
    <row r="1119" spans="1:17">
      <c r="C1119" s="4" t="s">
        <v>289</v>
      </c>
      <c r="D1119" s="469"/>
      <c r="E1119" s="469"/>
      <c r="F1119" s="469"/>
      <c r="G1119" s="469"/>
      <c r="H1119" s="467"/>
      <c r="I1119" s="467"/>
      <c r="J1119" s="471"/>
      <c r="K1119" s="471"/>
      <c r="L1119" s="471"/>
      <c r="M1119" s="471"/>
      <c r="N1119" s="471"/>
      <c r="O1119" s="471"/>
      <c r="Q1119" s="471"/>
    </row>
    <row r="1120" spans="1:17" ht="20.25">
      <c r="A1120" s="411" t="s">
        <v>762</v>
      </c>
      <c r="B1120" s="4"/>
      <c r="C1120" s="4"/>
      <c r="D1120" s="79"/>
      <c r="E1120" s="4"/>
      <c r="F1120" s="81"/>
      <c r="G1120" s="81"/>
      <c r="H1120" s="4"/>
      <c r="I1120" s="452"/>
      <c r="L1120" s="11"/>
      <c r="M1120" s="11"/>
      <c r="N1120" s="11"/>
      <c r="O1120" s="11" t="str">
        <f>"Page "&amp;SUM(Q$3:Q1120)&amp;" of "</f>
        <v xml:space="preserve">Page 14 of </v>
      </c>
      <c r="P1120" s="412">
        <f>COUNT(Q$8:Q$58212)</f>
        <v>23</v>
      </c>
      <c r="Q1120" s="539">
        <v>1</v>
      </c>
    </row>
    <row r="1121" spans="1:17">
      <c r="B1121" s="4"/>
      <c r="C1121" s="4"/>
      <c r="D1121" s="79"/>
      <c r="E1121" s="4"/>
      <c r="F1121" s="4"/>
      <c r="G1121" s="4"/>
      <c r="H1121" s="4"/>
      <c r="I1121" s="452"/>
      <c r="J1121" s="4"/>
      <c r="K1121" s="4"/>
    </row>
    <row r="1122" spans="1:17" ht="18">
      <c r="B1122" s="413" t="s">
        <v>174</v>
      </c>
      <c r="C1122" s="472" t="s">
        <v>290</v>
      </c>
      <c r="D1122" s="79"/>
      <c r="E1122" s="4"/>
      <c r="F1122" s="4"/>
      <c r="G1122" s="4"/>
      <c r="H1122" s="4"/>
      <c r="I1122" s="452"/>
      <c r="J1122" s="452"/>
      <c r="K1122" s="467"/>
      <c r="L1122" s="452"/>
      <c r="M1122" s="452"/>
      <c r="N1122" s="452"/>
      <c r="O1122" s="452"/>
      <c r="Q1122" s="467"/>
    </row>
    <row r="1123" spans="1:17" ht="18.75">
      <c r="B1123" s="413"/>
      <c r="C1123" s="13"/>
      <c r="D1123" s="79"/>
      <c r="E1123" s="4"/>
      <c r="F1123" s="4"/>
      <c r="G1123" s="4"/>
      <c r="H1123" s="4"/>
      <c r="I1123" s="452"/>
      <c r="J1123" s="452"/>
      <c r="K1123" s="467"/>
      <c r="L1123" s="452"/>
      <c r="M1123" s="452"/>
      <c r="N1123" s="452"/>
      <c r="O1123" s="452"/>
      <c r="Q1123" s="467"/>
    </row>
    <row r="1124" spans="1:17" ht="18.75">
      <c r="B1124" s="413"/>
      <c r="C1124" s="13" t="s">
        <v>291</v>
      </c>
      <c r="D1124" s="79"/>
      <c r="E1124" s="4"/>
      <c r="F1124" s="4"/>
      <c r="G1124" s="4"/>
      <c r="H1124" s="4"/>
      <c r="I1124" s="452"/>
      <c r="J1124" s="452"/>
      <c r="K1124" s="467"/>
      <c r="L1124" s="452"/>
      <c r="M1124" s="452"/>
      <c r="N1124" s="452"/>
      <c r="O1124" s="452"/>
      <c r="Q1124" s="467"/>
    </row>
    <row r="1125" spans="1:17" ht="15.75" thickBot="1">
      <c r="C1125" s="247"/>
      <c r="D1125" s="79"/>
      <c r="E1125" s="4"/>
      <c r="F1125" s="4"/>
      <c r="G1125" s="4"/>
      <c r="H1125" s="4"/>
      <c r="I1125" s="452"/>
      <c r="J1125" s="452"/>
      <c r="K1125" s="467"/>
      <c r="L1125" s="452"/>
      <c r="M1125" s="452"/>
      <c r="N1125" s="452"/>
      <c r="O1125" s="452"/>
      <c r="Q1125" s="467"/>
    </row>
    <row r="1126" spans="1:17" ht="15.75">
      <c r="C1126" s="414" t="s">
        <v>292</v>
      </c>
      <c r="D1126" s="79"/>
      <c r="E1126" s="4"/>
      <c r="F1126" s="4"/>
      <c r="G1126" s="4"/>
      <c r="H1126" s="635"/>
      <c r="I1126" s="4" t="s">
        <v>271</v>
      </c>
      <c r="J1126" s="4"/>
      <c r="K1126" s="4"/>
      <c r="L1126" s="540">
        <f>+J1132</f>
        <v>2025</v>
      </c>
      <c r="M1126" s="524" t="s">
        <v>254</v>
      </c>
      <c r="N1126" s="524" t="s">
        <v>255</v>
      </c>
      <c r="O1126" s="525" t="s">
        <v>256</v>
      </c>
    </row>
    <row r="1127" spans="1:17" ht="15.75">
      <c r="C1127" s="414"/>
      <c r="D1127" s="79"/>
      <c r="E1127" s="4"/>
      <c r="F1127" s="4"/>
      <c r="H1127" s="4"/>
      <c r="I1127" s="476"/>
      <c r="J1127" s="476"/>
      <c r="K1127" s="477"/>
      <c r="L1127" s="541" t="s">
        <v>455</v>
      </c>
      <c r="M1127" s="542">
        <f>VLOOKUP(J1132,C1139:P1198,10)</f>
        <v>163142.67790265125</v>
      </c>
      <c r="N1127" s="542">
        <f>VLOOKUP(J1132,C1139:P1198,12)</f>
        <v>163142.67790265125</v>
      </c>
      <c r="O1127" s="543">
        <f>+N1127-M1127</f>
        <v>0</v>
      </c>
      <c r="Q1127" s="477"/>
    </row>
    <row r="1128" spans="1:17">
      <c r="C1128" s="479" t="s">
        <v>293</v>
      </c>
      <c r="D1128" s="1276" t="s">
        <v>936</v>
      </c>
      <c r="E1128" s="1276"/>
      <c r="F1128" s="1276"/>
      <c r="G1128" s="1276"/>
      <c r="H1128" s="1276"/>
      <c r="I1128" s="1276"/>
      <c r="J1128" s="452"/>
      <c r="K1128" s="467"/>
      <c r="L1128" s="541" t="s">
        <v>456</v>
      </c>
      <c r="M1128" s="544">
        <f>VLOOKUP(J1132,C1139:P1198,6)</f>
        <v>167701.90766110533</v>
      </c>
      <c r="N1128" s="544">
        <f>VLOOKUP(J1132,C1139:P1198,7)</f>
        <v>167701.90766110533</v>
      </c>
      <c r="O1128" s="545">
        <f>+N1128-M1128</f>
        <v>0</v>
      </c>
      <c r="Q1128" s="467"/>
    </row>
    <row r="1129" spans="1:17" ht="13.5" thickBot="1">
      <c r="C1129" s="481"/>
      <c r="D1129" s="1276" t="s">
        <v>114</v>
      </c>
      <c r="E1129" s="1276"/>
      <c r="F1129" s="1276"/>
      <c r="G1129" s="1276"/>
      <c r="H1129" s="1276"/>
      <c r="I1129" s="1276"/>
      <c r="J1129" s="452"/>
      <c r="K1129" s="467"/>
      <c r="L1129" s="492" t="s">
        <v>457</v>
      </c>
      <c r="M1129" s="546">
        <f>+M1128-M1127</f>
        <v>4559.2297584540793</v>
      </c>
      <c r="N1129" s="546">
        <f>+N1128-N1127</f>
        <v>4559.2297584540793</v>
      </c>
      <c r="O1129" s="547">
        <f>+O1128-O1127</f>
        <v>0</v>
      </c>
      <c r="Q1129" s="467"/>
    </row>
    <row r="1130" spans="1:17" ht="13.5" thickBot="1">
      <c r="C1130" s="481"/>
      <c r="D1130" s="4"/>
      <c r="E1130" s="483"/>
      <c r="F1130" s="483"/>
      <c r="G1130" s="483"/>
      <c r="H1130" s="483"/>
      <c r="I1130" s="483"/>
      <c r="J1130" s="483"/>
      <c r="K1130" s="483"/>
      <c r="L1130" s="483"/>
      <c r="M1130" s="483"/>
      <c r="N1130" s="483"/>
      <c r="O1130" s="483"/>
      <c r="Q1130" s="483"/>
    </row>
    <row r="1131" spans="1:17" ht="13.5" thickBot="1">
      <c r="C1131" s="484" t="s">
        <v>294</v>
      </c>
      <c r="D1131" s="485"/>
      <c r="E1131" s="485"/>
      <c r="F1131" s="485"/>
      <c r="G1131" s="485"/>
      <c r="H1131" s="485"/>
      <c r="I1131" s="485"/>
      <c r="J1131" s="485"/>
      <c r="Q1131"/>
    </row>
    <row r="1132" spans="1:17" ht="15">
      <c r="A1132" s="977"/>
      <c r="C1132" s="487" t="s">
        <v>272</v>
      </c>
      <c r="D1132" s="926">
        <v>1214619.18</v>
      </c>
      <c r="E1132" s="4" t="s">
        <v>273</v>
      </c>
      <c r="H1132" s="79"/>
      <c r="I1132" s="79"/>
      <c r="J1132" s="488">
        <f>$J$95</f>
        <v>2025</v>
      </c>
      <c r="K1132" s="135"/>
      <c r="L1132" s="1287" t="s">
        <v>274</v>
      </c>
      <c r="M1132" s="1287"/>
      <c r="N1132" s="1287"/>
      <c r="O1132" s="1287"/>
      <c r="Q1132" s="135"/>
    </row>
    <row r="1133" spans="1:17">
      <c r="A1133" s="977"/>
      <c r="C1133" s="487" t="s">
        <v>275</v>
      </c>
      <c r="D1133" s="636">
        <v>2015</v>
      </c>
      <c r="E1133" s="487" t="s">
        <v>276</v>
      </c>
      <c r="F1133" s="79"/>
      <c r="G1133" s="79"/>
      <c r="I1133"/>
      <c r="J1133" s="638">
        <v>0</v>
      </c>
      <c r="K1133" s="489"/>
      <c r="L1133" s="467" t="s">
        <v>475</v>
      </c>
      <c r="Q1133" s="489"/>
    </row>
    <row r="1134" spans="1:17">
      <c r="A1134" s="977"/>
      <c r="C1134" s="487" t="s">
        <v>277</v>
      </c>
      <c r="D1134" s="926">
        <v>6</v>
      </c>
      <c r="E1134" s="487" t="s">
        <v>278</v>
      </c>
      <c r="F1134" s="79"/>
      <c r="G1134" s="79"/>
      <c r="I1134"/>
      <c r="J1134" s="490">
        <f>$F$70</f>
        <v>0.14996626714737105</v>
      </c>
      <c r="K1134" s="81"/>
      <c r="L1134" s="4" t="str">
        <f>"          INPUT TRUE-UP ARR (WITH &amp; WITHOUT INCENTIVES) FROM EACH PRIOR YEAR"</f>
        <v xml:space="preserve">          INPUT TRUE-UP ARR (WITH &amp; WITHOUT INCENTIVES) FROM EACH PRIOR YEAR</v>
      </c>
      <c r="Q1134" s="81"/>
    </row>
    <row r="1135" spans="1:17">
      <c r="A1135" s="977"/>
      <c r="C1135" s="487" t="s">
        <v>279</v>
      </c>
      <c r="D1135" s="491">
        <f>H79</f>
        <v>42</v>
      </c>
      <c r="E1135" s="487" t="s">
        <v>280</v>
      </c>
      <c r="F1135" s="79"/>
      <c r="G1135" s="79"/>
      <c r="I1135"/>
      <c r="J1135" s="490">
        <f>IF(H1126="",J1134,$F$69)</f>
        <v>0.14996626714737105</v>
      </c>
      <c r="K1135" s="81"/>
      <c r="L1135" s="4" t="s">
        <v>362</v>
      </c>
      <c r="M1135" s="81"/>
      <c r="N1135" s="81"/>
      <c r="O1135" s="81"/>
      <c r="Q1135" s="81"/>
    </row>
    <row r="1136" spans="1:17" ht="13.5" thickBot="1">
      <c r="A1136" s="977"/>
      <c r="C1136" s="487" t="s">
        <v>281</v>
      </c>
      <c r="D1136" s="637" t="s">
        <v>923</v>
      </c>
      <c r="E1136" s="492" t="s">
        <v>282</v>
      </c>
      <c r="F1136" s="493"/>
      <c r="G1136" s="493"/>
      <c r="H1136" s="494"/>
      <c r="I1136" s="494"/>
      <c r="J1136" s="480">
        <f>IF(D1132=0,0,D1132/D1135)</f>
        <v>28919.504285714283</v>
      </c>
      <c r="K1136" s="467"/>
      <c r="L1136" s="467" t="s">
        <v>363</v>
      </c>
      <c r="M1136" s="467"/>
      <c r="N1136" s="467"/>
      <c r="O1136" s="467"/>
      <c r="Q1136" s="467"/>
    </row>
    <row r="1137" spans="1:17" ht="38.25">
      <c r="A1137" s="12"/>
      <c r="B1137" s="12"/>
      <c r="C1137" s="495" t="s">
        <v>272</v>
      </c>
      <c r="D1137" s="496" t="s">
        <v>283</v>
      </c>
      <c r="E1137" s="497" t="s">
        <v>284</v>
      </c>
      <c r="F1137" s="496" t="s">
        <v>285</v>
      </c>
      <c r="G1137" s="496" t="s">
        <v>458</v>
      </c>
      <c r="H1137" s="497" t="s">
        <v>356</v>
      </c>
      <c r="I1137" s="498" t="s">
        <v>356</v>
      </c>
      <c r="J1137" s="495" t="s">
        <v>295</v>
      </c>
      <c r="K1137" s="499"/>
      <c r="L1137" s="497" t="s">
        <v>358</v>
      </c>
      <c r="M1137" s="497" t="s">
        <v>364</v>
      </c>
      <c r="N1137" s="497" t="s">
        <v>358</v>
      </c>
      <c r="O1137" s="497" t="s">
        <v>366</v>
      </c>
      <c r="P1137" s="497" t="s">
        <v>286</v>
      </c>
      <c r="Q1137" s="128"/>
    </row>
    <row r="1138" spans="1:17" ht="13.5" thickBot="1">
      <c r="C1138" s="500" t="s">
        <v>177</v>
      </c>
      <c r="D1138" s="501" t="s">
        <v>178</v>
      </c>
      <c r="E1138" s="500" t="s">
        <v>37</v>
      </c>
      <c r="F1138" s="501" t="s">
        <v>178</v>
      </c>
      <c r="G1138" s="501" t="s">
        <v>178</v>
      </c>
      <c r="H1138" s="502" t="s">
        <v>298</v>
      </c>
      <c r="I1138" s="503" t="s">
        <v>300</v>
      </c>
      <c r="J1138" s="500" t="s">
        <v>389</v>
      </c>
      <c r="K1138" s="504"/>
      <c r="L1138" s="502" t="s">
        <v>287</v>
      </c>
      <c r="M1138" s="502" t="s">
        <v>287</v>
      </c>
      <c r="N1138" s="502" t="s">
        <v>467</v>
      </c>
      <c r="O1138" s="502" t="s">
        <v>467</v>
      </c>
      <c r="P1138" s="502" t="s">
        <v>467</v>
      </c>
      <c r="Q1138" s="135"/>
    </row>
    <row r="1139" spans="1:17">
      <c r="C1139" s="505">
        <f>IF(D1133= "","-",D1133)</f>
        <v>2015</v>
      </c>
      <c r="D1139" s="469">
        <f>+D1132</f>
        <v>1214619.18</v>
      </c>
      <c r="E1139" s="506">
        <f>+J1136/12*(12-D1134)</f>
        <v>14459.752142857142</v>
      </c>
      <c r="F1139" s="548">
        <f t="shared" ref="F1139:F1198" si="104">+D1139-E1139</f>
        <v>1200159.4278571429</v>
      </c>
      <c r="G1139" s="469">
        <f t="shared" ref="G1139:G1198" si="105">+(D1139+F1139)/2</f>
        <v>1207389.3039285713</v>
      </c>
      <c r="H1139" s="507">
        <f>+J1134*G1139+E1139</f>
        <v>195527.41904668763</v>
      </c>
      <c r="I1139" s="508">
        <f>+J1135*G1139+E1139</f>
        <v>195527.41904668763</v>
      </c>
      <c r="J1139" s="509">
        <f t="shared" ref="J1139:J1198" si="106">+I1139-H1139</f>
        <v>0</v>
      </c>
      <c r="K1139" s="509"/>
      <c r="L1139" s="513">
        <v>247850</v>
      </c>
      <c r="M1139" s="549">
        <f t="shared" ref="M1139:M1198" si="107">IF(L1139&lt;&gt;0,+H1139-L1139,0)</f>
        <v>-52322.580953312368</v>
      </c>
      <c r="N1139" s="513">
        <v>247850</v>
      </c>
      <c r="O1139" s="549">
        <f t="shared" ref="O1139:O1198" si="108">IF(N1139&lt;&gt;0,+I1139-N1139,0)</f>
        <v>-52322.580953312368</v>
      </c>
      <c r="P1139" s="549">
        <f t="shared" ref="P1139:P1198" si="109">+O1139-M1139</f>
        <v>0</v>
      </c>
      <c r="Q1139" s="471"/>
    </row>
    <row r="1140" spans="1:17">
      <c r="C1140" s="505">
        <f>IF(D1133="","-",+C1139+1)</f>
        <v>2016</v>
      </c>
      <c r="D1140" s="469">
        <f t="shared" ref="D1140:D1198" si="110">F1139</f>
        <v>1200159.4278571429</v>
      </c>
      <c r="E1140" s="511">
        <f>IF(D1140&gt;$J$1136,$J$1136,D1140)</f>
        <v>28919.504285714283</v>
      </c>
      <c r="F1140" s="511">
        <f t="shared" si="104"/>
        <v>1171239.9235714285</v>
      </c>
      <c r="G1140" s="469">
        <f t="shared" si="105"/>
        <v>1185699.6757142856</v>
      </c>
      <c r="H1140" s="506">
        <f>+J1134*G1140+E1140</f>
        <v>206734.45861043403</v>
      </c>
      <c r="I1140" s="512">
        <f>+J1135*G1140+E1140</f>
        <v>206734.45861043403</v>
      </c>
      <c r="J1140" s="509">
        <f t="shared" si="106"/>
        <v>0</v>
      </c>
      <c r="K1140" s="509"/>
      <c r="L1140" s="513">
        <v>216823</v>
      </c>
      <c r="M1140" s="509">
        <f t="shared" si="107"/>
        <v>-10088.541389565973</v>
      </c>
      <c r="N1140" s="513">
        <v>216823</v>
      </c>
      <c r="O1140" s="509">
        <f t="shared" si="108"/>
        <v>-10088.541389565973</v>
      </c>
      <c r="P1140" s="509">
        <f t="shared" si="109"/>
        <v>0</v>
      </c>
      <c r="Q1140" s="471"/>
    </row>
    <row r="1141" spans="1:17">
      <c r="C1141" s="505">
        <f>IF(D1133="","-",+C1140+1)</f>
        <v>2017</v>
      </c>
      <c r="D1141" s="469">
        <f t="shared" si="110"/>
        <v>1171239.9235714285</v>
      </c>
      <c r="E1141" s="511">
        <f t="shared" ref="E1141:E1198" si="111">IF(D1141&gt;$J$1136,$J$1136,D1141)</f>
        <v>28919.504285714283</v>
      </c>
      <c r="F1141" s="511">
        <f t="shared" si="104"/>
        <v>1142320.4192857142</v>
      </c>
      <c r="G1141" s="469">
        <f t="shared" si="105"/>
        <v>1156780.1714285715</v>
      </c>
      <c r="H1141" s="506">
        <f>+J1134*G1141+E1141</f>
        <v>202397.50850495312</v>
      </c>
      <c r="I1141" s="512">
        <f>+J1135*G1141+E1141</f>
        <v>202397.50850495312</v>
      </c>
      <c r="J1141" s="509">
        <f t="shared" si="106"/>
        <v>0</v>
      </c>
      <c r="K1141" s="509"/>
      <c r="L1141" s="513">
        <v>219628</v>
      </c>
      <c r="M1141" s="509">
        <f t="shared" si="107"/>
        <v>-17230.491495046881</v>
      </c>
      <c r="N1141" s="513">
        <v>219628</v>
      </c>
      <c r="O1141" s="509">
        <f t="shared" si="108"/>
        <v>-17230.491495046881</v>
      </c>
      <c r="P1141" s="509">
        <f t="shared" si="109"/>
        <v>0</v>
      </c>
      <c r="Q1141" s="471"/>
    </row>
    <row r="1142" spans="1:17">
      <c r="C1142" s="505">
        <f>IF(D1133="","-",+C1141+1)</f>
        <v>2018</v>
      </c>
      <c r="D1142" s="469">
        <f t="shared" si="110"/>
        <v>1142320.4192857142</v>
      </c>
      <c r="E1142" s="511">
        <f t="shared" si="111"/>
        <v>28919.504285714283</v>
      </c>
      <c r="F1142" s="511">
        <f t="shared" si="104"/>
        <v>1113400.9149999998</v>
      </c>
      <c r="G1142" s="469">
        <f t="shared" si="105"/>
        <v>1127860.6671428569</v>
      </c>
      <c r="H1142" s="506">
        <f>+J1134*G1142+E1142</f>
        <v>198060.55839947209</v>
      </c>
      <c r="I1142" s="512">
        <f>+J1135*G1142+E1142</f>
        <v>198060.55839947209</v>
      </c>
      <c r="J1142" s="509">
        <f t="shared" si="106"/>
        <v>0</v>
      </c>
      <c r="K1142" s="509"/>
      <c r="L1142" s="513">
        <v>198829</v>
      </c>
      <c r="M1142" s="509">
        <f t="shared" si="107"/>
        <v>-768.44160052790539</v>
      </c>
      <c r="N1142" s="513">
        <v>198829</v>
      </c>
      <c r="O1142" s="509">
        <f t="shared" si="108"/>
        <v>-768.44160052790539</v>
      </c>
      <c r="P1142" s="509">
        <f t="shared" si="109"/>
        <v>0</v>
      </c>
      <c r="Q1142" s="471"/>
    </row>
    <row r="1143" spans="1:17">
      <c r="C1143" s="505">
        <f>IF(D1133="","-",+C1142+1)</f>
        <v>2019</v>
      </c>
      <c r="D1143" s="941">
        <f t="shared" si="110"/>
        <v>1113400.9149999998</v>
      </c>
      <c r="E1143" s="511">
        <f t="shared" si="111"/>
        <v>28919.504285714283</v>
      </c>
      <c r="F1143" s="511">
        <f t="shared" si="104"/>
        <v>1084481.4107142854</v>
      </c>
      <c r="G1143" s="469">
        <f t="shared" si="105"/>
        <v>1098941.1628571427</v>
      </c>
      <c r="H1143" s="506">
        <f>+J1134*G1143+E1143</f>
        <v>193723.60829399113</v>
      </c>
      <c r="I1143" s="512">
        <f>+J1135*G1143+E1143</f>
        <v>193723.60829399113</v>
      </c>
      <c r="J1143" s="509">
        <f t="shared" si="106"/>
        <v>0</v>
      </c>
      <c r="K1143" s="509"/>
      <c r="L1143" s="513">
        <v>193445</v>
      </c>
      <c r="M1143" s="509">
        <f t="shared" si="107"/>
        <v>278.60829399112845</v>
      </c>
      <c r="N1143" s="513">
        <v>193445</v>
      </c>
      <c r="O1143" s="509">
        <f t="shared" si="108"/>
        <v>278.60829399112845</v>
      </c>
      <c r="P1143" s="509">
        <f t="shared" si="109"/>
        <v>0</v>
      </c>
      <c r="Q1143" s="471"/>
    </row>
    <row r="1144" spans="1:17">
      <c r="C1144" s="505">
        <f>IF(D1133="","-",+C1143+1)</f>
        <v>2020</v>
      </c>
      <c r="D1144" s="941">
        <f t="shared" si="110"/>
        <v>1084481.4107142854</v>
      </c>
      <c r="E1144" s="511">
        <f t="shared" si="111"/>
        <v>28919.504285714283</v>
      </c>
      <c r="F1144" s="511">
        <f t="shared" si="104"/>
        <v>1055561.9064285711</v>
      </c>
      <c r="G1144" s="469">
        <f t="shared" si="105"/>
        <v>1070021.6585714282</v>
      </c>
      <c r="H1144" s="506">
        <f>+J1134*G1144+E1144</f>
        <v>189386.6581885101</v>
      </c>
      <c r="I1144" s="512">
        <f>+J1135*G1144+E1144</f>
        <v>189386.6581885101</v>
      </c>
      <c r="J1144" s="509">
        <f t="shared" si="106"/>
        <v>0</v>
      </c>
      <c r="K1144" s="509"/>
      <c r="L1144" s="513">
        <v>186463.49247652118</v>
      </c>
      <c r="M1144" s="509">
        <f t="shared" si="107"/>
        <v>2923.1657119889278</v>
      </c>
      <c r="N1144" s="513">
        <v>186463.49247652118</v>
      </c>
      <c r="O1144" s="509">
        <f t="shared" si="108"/>
        <v>2923.1657119889278</v>
      </c>
      <c r="P1144" s="509">
        <f t="shared" si="109"/>
        <v>0</v>
      </c>
      <c r="Q1144" s="471"/>
    </row>
    <row r="1145" spans="1:17">
      <c r="C1145" s="505">
        <f>IF(D1133="","-",+C1144+1)</f>
        <v>2021</v>
      </c>
      <c r="D1145" s="941">
        <f t="shared" si="110"/>
        <v>1055561.9064285711</v>
      </c>
      <c r="E1145" s="511">
        <f t="shared" si="111"/>
        <v>28919.504285714283</v>
      </c>
      <c r="F1145" s="511">
        <f t="shared" si="104"/>
        <v>1026642.4021428569</v>
      </c>
      <c r="G1145" s="469">
        <f t="shared" si="105"/>
        <v>1041102.154285714</v>
      </c>
      <c r="H1145" s="506">
        <f>+J1134*G1145+E1145</f>
        <v>185049.7080830292</v>
      </c>
      <c r="I1145" s="512">
        <f>+J1135*G1145+E1145</f>
        <v>185049.7080830292</v>
      </c>
      <c r="J1145" s="509">
        <f t="shared" si="106"/>
        <v>0</v>
      </c>
      <c r="K1145" s="509"/>
      <c r="L1145" s="513">
        <v>177977.81228490558</v>
      </c>
      <c r="M1145" s="509">
        <f t="shared" si="107"/>
        <v>7071.8957981236163</v>
      </c>
      <c r="N1145" s="513">
        <v>177977.81228490558</v>
      </c>
      <c r="O1145" s="509">
        <f t="shared" si="108"/>
        <v>7071.8957981236163</v>
      </c>
      <c r="P1145" s="509">
        <f t="shared" si="109"/>
        <v>0</v>
      </c>
      <c r="Q1145" s="471"/>
    </row>
    <row r="1146" spans="1:17">
      <c r="C1146" s="505">
        <f>IF(D1133="","-",+C1145+1)</f>
        <v>2022</v>
      </c>
      <c r="D1146" s="469">
        <f t="shared" si="110"/>
        <v>1026642.4021428569</v>
      </c>
      <c r="E1146" s="511">
        <f t="shared" si="111"/>
        <v>28919.504285714283</v>
      </c>
      <c r="F1146" s="511">
        <f t="shared" si="104"/>
        <v>997722.89785714261</v>
      </c>
      <c r="G1146" s="469">
        <f t="shared" si="105"/>
        <v>1012182.6499999997</v>
      </c>
      <c r="H1146" s="506">
        <f>+J1134*G1146+E1146</f>
        <v>180712.75797754817</v>
      </c>
      <c r="I1146" s="512">
        <f>+J1135*G1146+E1146</f>
        <v>180712.75797754817</v>
      </c>
      <c r="J1146" s="509">
        <f t="shared" si="106"/>
        <v>0</v>
      </c>
      <c r="K1146" s="509"/>
      <c r="L1146" s="513">
        <v>174744.70734221971</v>
      </c>
      <c r="M1146" s="509">
        <f t="shared" si="107"/>
        <v>5968.0506353284582</v>
      </c>
      <c r="N1146" s="513">
        <v>174744.70734221971</v>
      </c>
      <c r="O1146" s="509">
        <f t="shared" si="108"/>
        <v>5968.0506353284582</v>
      </c>
      <c r="P1146" s="509">
        <f t="shared" si="109"/>
        <v>0</v>
      </c>
      <c r="Q1146" s="471"/>
    </row>
    <row r="1147" spans="1:17">
      <c r="C1147" s="505">
        <f>IF(D1133="","-",+C1146+1)</f>
        <v>2023</v>
      </c>
      <c r="D1147" s="469">
        <f t="shared" si="110"/>
        <v>997722.89785714261</v>
      </c>
      <c r="E1147" s="511">
        <f t="shared" si="111"/>
        <v>28919.504285714283</v>
      </c>
      <c r="F1147" s="511">
        <f t="shared" si="104"/>
        <v>968803.39357142837</v>
      </c>
      <c r="G1147" s="469">
        <f t="shared" si="105"/>
        <v>983263.14571428555</v>
      </c>
      <c r="H1147" s="506">
        <f>+J1134*G1147+E1147</f>
        <v>176375.80787206726</v>
      </c>
      <c r="I1147" s="512">
        <f>+J1135*G1147+E1147</f>
        <v>176375.80787206726</v>
      </c>
      <c r="J1147" s="509">
        <f t="shared" si="106"/>
        <v>0</v>
      </c>
      <c r="K1147" s="509"/>
      <c r="L1147" s="513">
        <v>177482.71725621022</v>
      </c>
      <c r="M1147" s="509">
        <f t="shared" si="107"/>
        <v>-1106.9093841429567</v>
      </c>
      <c r="N1147" s="513">
        <v>177482.71725621022</v>
      </c>
      <c r="O1147" s="509">
        <f t="shared" si="108"/>
        <v>-1106.9093841429567</v>
      </c>
      <c r="P1147" s="509">
        <f t="shared" si="109"/>
        <v>0</v>
      </c>
      <c r="Q1147" s="471"/>
    </row>
    <row r="1148" spans="1:17">
      <c r="C1148" s="963">
        <f>IF(D1133="","-",+C1147+1)</f>
        <v>2024</v>
      </c>
      <c r="D1148" s="469">
        <f t="shared" si="110"/>
        <v>968803.39357142837</v>
      </c>
      <c r="E1148" s="511">
        <f t="shared" si="111"/>
        <v>28919.504285714283</v>
      </c>
      <c r="F1148" s="511">
        <f t="shared" si="104"/>
        <v>939883.88928571413</v>
      </c>
      <c r="G1148" s="469">
        <f t="shared" si="105"/>
        <v>954343.64142857119</v>
      </c>
      <c r="H1148" s="506">
        <f>+J1134*G1148+E1148</f>
        <v>172038.8577665863</v>
      </c>
      <c r="I1148" s="512">
        <f>+J1135*G1148+E1148</f>
        <v>172038.8577665863</v>
      </c>
      <c r="J1148" s="509">
        <f t="shared" si="106"/>
        <v>0</v>
      </c>
      <c r="K1148" s="509"/>
      <c r="L1148" s="513">
        <v>172414.93121746846</v>
      </c>
      <c r="M1148" s="509">
        <f t="shared" si="107"/>
        <v>-376.07345088216243</v>
      </c>
      <c r="N1148" s="513">
        <v>172414.93121746846</v>
      </c>
      <c r="O1148" s="509">
        <f t="shared" si="108"/>
        <v>-376.07345088216243</v>
      </c>
      <c r="P1148" s="509">
        <f t="shared" si="109"/>
        <v>0</v>
      </c>
      <c r="Q1148" s="471"/>
    </row>
    <row r="1149" spans="1:17">
      <c r="C1149" s="505">
        <f>IF(D1133="","-",+C1148+1)</f>
        <v>2025</v>
      </c>
      <c r="D1149" s="469">
        <f t="shared" si="110"/>
        <v>939883.88928571413</v>
      </c>
      <c r="E1149" s="511">
        <f t="shared" si="111"/>
        <v>28919.504285714283</v>
      </c>
      <c r="F1149" s="511">
        <f t="shared" si="104"/>
        <v>910964.38499999989</v>
      </c>
      <c r="G1149" s="469">
        <f t="shared" si="105"/>
        <v>925424.13714285707</v>
      </c>
      <c r="H1149" s="506">
        <f>+J1134*G1149+E1149</f>
        <v>167701.90766110533</v>
      </c>
      <c r="I1149" s="512">
        <f>+J1135*G1149+E1149</f>
        <v>167701.90766110533</v>
      </c>
      <c r="J1149" s="509">
        <f t="shared" si="106"/>
        <v>0</v>
      </c>
      <c r="K1149" s="509"/>
      <c r="L1149" s="513">
        <v>163142.67790265125</v>
      </c>
      <c r="M1149" s="509">
        <f t="shared" si="107"/>
        <v>4559.2297584540793</v>
      </c>
      <c r="N1149" s="513">
        <v>163142.67790265125</v>
      </c>
      <c r="O1149" s="509">
        <f t="shared" si="108"/>
        <v>4559.2297584540793</v>
      </c>
      <c r="P1149" s="509">
        <f t="shared" si="109"/>
        <v>0</v>
      </c>
      <c r="Q1149" s="471"/>
    </row>
    <row r="1150" spans="1:17">
      <c r="C1150" s="505">
        <f>IF(D1133="","-",+C1149+1)</f>
        <v>2026</v>
      </c>
      <c r="D1150" s="469">
        <f t="shared" si="110"/>
        <v>910964.38499999989</v>
      </c>
      <c r="E1150" s="511">
        <f t="shared" si="111"/>
        <v>28919.504285714283</v>
      </c>
      <c r="F1150" s="511">
        <f t="shared" si="104"/>
        <v>882044.88071428565</v>
      </c>
      <c r="G1150" s="469">
        <f t="shared" si="105"/>
        <v>896504.63285714271</v>
      </c>
      <c r="H1150" s="506">
        <f>+J1134*G1150+E1150</f>
        <v>163364.95755562437</v>
      </c>
      <c r="I1150" s="512">
        <f>+J1135*G1150+E1150</f>
        <v>163364.95755562437</v>
      </c>
      <c r="J1150" s="509">
        <f t="shared" si="106"/>
        <v>0</v>
      </c>
      <c r="K1150" s="509"/>
      <c r="L1150" s="513"/>
      <c r="M1150" s="509">
        <f t="shared" si="107"/>
        <v>0</v>
      </c>
      <c r="N1150" s="513"/>
      <c r="O1150" s="509">
        <f t="shared" si="108"/>
        <v>0</v>
      </c>
      <c r="P1150" s="509">
        <f t="shared" si="109"/>
        <v>0</v>
      </c>
      <c r="Q1150" s="471"/>
    </row>
    <row r="1151" spans="1:17">
      <c r="C1151" s="505">
        <f>IF(D1133="","-",+C1150+1)</f>
        <v>2027</v>
      </c>
      <c r="D1151" s="469">
        <f t="shared" si="110"/>
        <v>882044.88071428565</v>
      </c>
      <c r="E1151" s="511">
        <f t="shared" si="111"/>
        <v>28919.504285714283</v>
      </c>
      <c r="F1151" s="511">
        <f t="shared" si="104"/>
        <v>853125.37642857141</v>
      </c>
      <c r="G1151" s="469">
        <f t="shared" si="105"/>
        <v>867585.12857142859</v>
      </c>
      <c r="H1151" s="506">
        <f>+J1134*G1151+E1151</f>
        <v>159028.0074501434</v>
      </c>
      <c r="I1151" s="512">
        <f>+J1135*G1151+E1151</f>
        <v>159028.0074501434</v>
      </c>
      <c r="J1151" s="509">
        <f t="shared" si="106"/>
        <v>0</v>
      </c>
      <c r="K1151" s="509"/>
      <c r="L1151" s="513"/>
      <c r="M1151" s="509">
        <f t="shared" si="107"/>
        <v>0</v>
      </c>
      <c r="N1151" s="513"/>
      <c r="O1151" s="509">
        <f t="shared" si="108"/>
        <v>0</v>
      </c>
      <c r="P1151" s="509">
        <f t="shared" si="109"/>
        <v>0</v>
      </c>
      <c r="Q1151" s="471"/>
    </row>
    <row r="1152" spans="1:17">
      <c r="C1152" s="505">
        <f>IF(D1133="","-",+C1151+1)</f>
        <v>2028</v>
      </c>
      <c r="D1152" s="469">
        <f t="shared" si="110"/>
        <v>853125.37642857141</v>
      </c>
      <c r="E1152" s="511">
        <f t="shared" si="111"/>
        <v>28919.504285714283</v>
      </c>
      <c r="F1152" s="511">
        <f t="shared" si="104"/>
        <v>824205.87214285717</v>
      </c>
      <c r="G1152" s="469">
        <f t="shared" si="105"/>
        <v>838665.62428571424</v>
      </c>
      <c r="H1152" s="506">
        <f>+J1134*G1152+E1152</f>
        <v>154691.05734466243</v>
      </c>
      <c r="I1152" s="512">
        <f>+J1135*G1152+E1152</f>
        <v>154691.05734466243</v>
      </c>
      <c r="J1152" s="509">
        <f t="shared" si="106"/>
        <v>0</v>
      </c>
      <c r="K1152" s="509"/>
      <c r="L1152" s="513"/>
      <c r="M1152" s="509">
        <f t="shared" si="107"/>
        <v>0</v>
      </c>
      <c r="N1152" s="513"/>
      <c r="O1152" s="509">
        <f t="shared" si="108"/>
        <v>0</v>
      </c>
      <c r="P1152" s="509">
        <f t="shared" si="109"/>
        <v>0</v>
      </c>
      <c r="Q1152" s="471"/>
    </row>
    <row r="1153" spans="3:17">
      <c r="C1153" s="505">
        <f>IF(D1133="","-",+C1152+1)</f>
        <v>2029</v>
      </c>
      <c r="D1153" s="469">
        <f t="shared" si="110"/>
        <v>824205.87214285717</v>
      </c>
      <c r="E1153" s="511">
        <f t="shared" si="111"/>
        <v>28919.504285714283</v>
      </c>
      <c r="F1153" s="511">
        <f t="shared" si="104"/>
        <v>795286.36785714293</v>
      </c>
      <c r="G1153" s="469">
        <f t="shared" si="105"/>
        <v>809746.12000000011</v>
      </c>
      <c r="H1153" s="506">
        <f>+J1134*G1153+E1153</f>
        <v>150354.10723918147</v>
      </c>
      <c r="I1153" s="512">
        <f>+J1135*G1153+E1153</f>
        <v>150354.10723918147</v>
      </c>
      <c r="J1153" s="509">
        <f t="shared" si="106"/>
        <v>0</v>
      </c>
      <c r="K1153" s="509"/>
      <c r="L1153" s="513"/>
      <c r="M1153" s="509">
        <f t="shared" si="107"/>
        <v>0</v>
      </c>
      <c r="N1153" s="513"/>
      <c r="O1153" s="509">
        <f t="shared" si="108"/>
        <v>0</v>
      </c>
      <c r="P1153" s="509">
        <f t="shared" si="109"/>
        <v>0</v>
      </c>
      <c r="Q1153" s="471"/>
    </row>
    <row r="1154" spans="3:17">
      <c r="C1154" s="505">
        <f>IF(D1133="","-",+C1153+1)</f>
        <v>2030</v>
      </c>
      <c r="D1154" s="469">
        <f t="shared" si="110"/>
        <v>795286.36785714293</v>
      </c>
      <c r="E1154" s="511">
        <f t="shared" si="111"/>
        <v>28919.504285714283</v>
      </c>
      <c r="F1154" s="511">
        <f t="shared" si="104"/>
        <v>766366.86357142869</v>
      </c>
      <c r="G1154" s="469">
        <f t="shared" si="105"/>
        <v>780826.61571428576</v>
      </c>
      <c r="H1154" s="506">
        <f>+J1134*G1154+E1154</f>
        <v>146017.1571337005</v>
      </c>
      <c r="I1154" s="512">
        <f>+J1135*G1154+E1154</f>
        <v>146017.1571337005</v>
      </c>
      <c r="J1154" s="509">
        <f t="shared" si="106"/>
        <v>0</v>
      </c>
      <c r="K1154" s="509"/>
      <c r="L1154" s="513"/>
      <c r="M1154" s="509">
        <f t="shared" si="107"/>
        <v>0</v>
      </c>
      <c r="N1154" s="513"/>
      <c r="O1154" s="509">
        <f t="shared" si="108"/>
        <v>0</v>
      </c>
      <c r="P1154" s="509">
        <f t="shared" si="109"/>
        <v>0</v>
      </c>
      <c r="Q1154" s="471"/>
    </row>
    <row r="1155" spans="3:17">
      <c r="C1155" s="505">
        <f>IF(D1133="","-",+C1154+1)</f>
        <v>2031</v>
      </c>
      <c r="D1155" s="469">
        <f t="shared" si="110"/>
        <v>766366.86357142869</v>
      </c>
      <c r="E1155" s="511">
        <f t="shared" si="111"/>
        <v>28919.504285714283</v>
      </c>
      <c r="F1155" s="511">
        <f t="shared" si="104"/>
        <v>737447.35928571445</v>
      </c>
      <c r="G1155" s="469">
        <f t="shared" si="105"/>
        <v>751907.11142857163</v>
      </c>
      <c r="H1155" s="506">
        <f>+J1134*G1155+E1155</f>
        <v>141680.20702821953</v>
      </c>
      <c r="I1155" s="512">
        <f>+J1135*G1155+E1155</f>
        <v>141680.20702821953</v>
      </c>
      <c r="J1155" s="509">
        <f t="shared" si="106"/>
        <v>0</v>
      </c>
      <c r="K1155" s="509"/>
      <c r="L1155" s="513"/>
      <c r="M1155" s="509">
        <f t="shared" si="107"/>
        <v>0</v>
      </c>
      <c r="N1155" s="513"/>
      <c r="O1155" s="509">
        <f t="shared" si="108"/>
        <v>0</v>
      </c>
      <c r="P1155" s="509">
        <f t="shared" si="109"/>
        <v>0</v>
      </c>
      <c r="Q1155" s="471"/>
    </row>
    <row r="1156" spans="3:17">
      <c r="C1156" s="505">
        <f>IF(D1133="","-",+C1155+1)</f>
        <v>2032</v>
      </c>
      <c r="D1156" s="469">
        <f t="shared" si="110"/>
        <v>737447.35928571445</v>
      </c>
      <c r="E1156" s="511">
        <f t="shared" si="111"/>
        <v>28919.504285714283</v>
      </c>
      <c r="F1156" s="511">
        <f t="shared" si="104"/>
        <v>708527.85500000021</v>
      </c>
      <c r="G1156" s="469">
        <f t="shared" si="105"/>
        <v>722987.60714285728</v>
      </c>
      <c r="H1156" s="506">
        <f>+J1134*G1156+E1156</f>
        <v>137343.25692273857</v>
      </c>
      <c r="I1156" s="512">
        <f>+J1135*G1156+E1156</f>
        <v>137343.25692273857</v>
      </c>
      <c r="J1156" s="509">
        <f t="shared" si="106"/>
        <v>0</v>
      </c>
      <c r="K1156" s="509"/>
      <c r="L1156" s="513"/>
      <c r="M1156" s="509">
        <f t="shared" si="107"/>
        <v>0</v>
      </c>
      <c r="N1156" s="513"/>
      <c r="O1156" s="509">
        <f t="shared" si="108"/>
        <v>0</v>
      </c>
      <c r="P1156" s="509">
        <f t="shared" si="109"/>
        <v>0</v>
      </c>
      <c r="Q1156" s="471"/>
    </row>
    <row r="1157" spans="3:17">
      <c r="C1157" s="505">
        <f>IF(D1133="","-",+C1156+1)</f>
        <v>2033</v>
      </c>
      <c r="D1157" s="469">
        <f t="shared" si="110"/>
        <v>708527.85500000021</v>
      </c>
      <c r="E1157" s="511">
        <f t="shared" si="111"/>
        <v>28919.504285714283</v>
      </c>
      <c r="F1157" s="511">
        <f t="shared" si="104"/>
        <v>679608.35071428597</v>
      </c>
      <c r="G1157" s="469">
        <f t="shared" si="105"/>
        <v>694068.10285714315</v>
      </c>
      <c r="H1157" s="506">
        <f>+J1134*G1157+E1157</f>
        <v>133006.3068172576</v>
      </c>
      <c r="I1157" s="512">
        <f>+J1135*G1157+E1157</f>
        <v>133006.3068172576</v>
      </c>
      <c r="J1157" s="509">
        <f t="shared" si="106"/>
        <v>0</v>
      </c>
      <c r="K1157" s="509"/>
      <c r="L1157" s="513"/>
      <c r="M1157" s="509">
        <f t="shared" si="107"/>
        <v>0</v>
      </c>
      <c r="N1157" s="513"/>
      <c r="O1157" s="509">
        <f t="shared" si="108"/>
        <v>0</v>
      </c>
      <c r="P1157" s="509">
        <f t="shared" si="109"/>
        <v>0</v>
      </c>
      <c r="Q1157" s="471"/>
    </row>
    <row r="1158" spans="3:17">
      <c r="C1158" s="505">
        <f>IF(D1133="","-",+C1157+1)</f>
        <v>2034</v>
      </c>
      <c r="D1158" s="469">
        <f t="shared" si="110"/>
        <v>679608.35071428597</v>
      </c>
      <c r="E1158" s="511">
        <f t="shared" si="111"/>
        <v>28919.504285714283</v>
      </c>
      <c r="F1158" s="511">
        <f t="shared" si="104"/>
        <v>650688.84642857173</v>
      </c>
      <c r="G1158" s="469">
        <f t="shared" si="105"/>
        <v>665148.5985714288</v>
      </c>
      <c r="H1158" s="506">
        <f>+J1134*G1158+E1158</f>
        <v>128669.35671177664</v>
      </c>
      <c r="I1158" s="512">
        <f>+J1135*G1158+E1158</f>
        <v>128669.35671177664</v>
      </c>
      <c r="J1158" s="509">
        <f t="shared" si="106"/>
        <v>0</v>
      </c>
      <c r="K1158" s="509"/>
      <c r="L1158" s="513"/>
      <c r="M1158" s="509">
        <f t="shared" si="107"/>
        <v>0</v>
      </c>
      <c r="N1158" s="513"/>
      <c r="O1158" s="509">
        <f t="shared" si="108"/>
        <v>0</v>
      </c>
      <c r="P1158" s="509">
        <f t="shared" si="109"/>
        <v>0</v>
      </c>
      <c r="Q1158" s="471"/>
    </row>
    <row r="1159" spans="3:17">
      <c r="C1159" s="505">
        <f>IF(D1133="","-",+C1158+1)</f>
        <v>2035</v>
      </c>
      <c r="D1159" s="469">
        <f t="shared" si="110"/>
        <v>650688.84642857173</v>
      </c>
      <c r="E1159" s="511">
        <f t="shared" si="111"/>
        <v>28919.504285714283</v>
      </c>
      <c r="F1159" s="511">
        <f t="shared" si="104"/>
        <v>621769.34214285749</v>
      </c>
      <c r="G1159" s="469">
        <f t="shared" si="105"/>
        <v>636229.09428571467</v>
      </c>
      <c r="H1159" s="506">
        <f>+J1134*G1159+E1159</f>
        <v>124332.40660629568</v>
      </c>
      <c r="I1159" s="512">
        <f>+J1135*G1159+E1159</f>
        <v>124332.40660629568</v>
      </c>
      <c r="J1159" s="509">
        <f t="shared" si="106"/>
        <v>0</v>
      </c>
      <c r="K1159" s="509"/>
      <c r="L1159" s="513"/>
      <c r="M1159" s="509">
        <f t="shared" si="107"/>
        <v>0</v>
      </c>
      <c r="N1159" s="513"/>
      <c r="O1159" s="509">
        <f t="shared" si="108"/>
        <v>0</v>
      </c>
      <c r="P1159" s="509">
        <f t="shared" si="109"/>
        <v>0</v>
      </c>
      <c r="Q1159" s="471"/>
    </row>
    <row r="1160" spans="3:17">
      <c r="C1160" s="505">
        <f>IF(D1133="","-",+C1159+1)</f>
        <v>2036</v>
      </c>
      <c r="D1160" s="469">
        <f t="shared" si="110"/>
        <v>621769.34214285749</v>
      </c>
      <c r="E1160" s="511">
        <f t="shared" si="111"/>
        <v>28919.504285714283</v>
      </c>
      <c r="F1160" s="511">
        <f t="shared" si="104"/>
        <v>592849.83785714325</v>
      </c>
      <c r="G1160" s="469">
        <f t="shared" si="105"/>
        <v>607309.59000000032</v>
      </c>
      <c r="H1160" s="506">
        <f>+J1134*G1160+E1160</f>
        <v>119995.4565008147</v>
      </c>
      <c r="I1160" s="512">
        <f>+J1135*G1160+E1160</f>
        <v>119995.4565008147</v>
      </c>
      <c r="J1160" s="509">
        <f t="shared" si="106"/>
        <v>0</v>
      </c>
      <c r="K1160" s="509"/>
      <c r="L1160" s="513"/>
      <c r="M1160" s="509">
        <f t="shared" si="107"/>
        <v>0</v>
      </c>
      <c r="N1160" s="513"/>
      <c r="O1160" s="509">
        <f t="shared" si="108"/>
        <v>0</v>
      </c>
      <c r="P1160" s="509">
        <f t="shared" si="109"/>
        <v>0</v>
      </c>
      <c r="Q1160" s="471"/>
    </row>
    <row r="1161" spans="3:17">
      <c r="C1161" s="505">
        <f>IF(D1133="","-",+C1160+1)</f>
        <v>2037</v>
      </c>
      <c r="D1161" s="469">
        <f t="shared" si="110"/>
        <v>592849.83785714325</v>
      </c>
      <c r="E1161" s="511">
        <f t="shared" si="111"/>
        <v>28919.504285714283</v>
      </c>
      <c r="F1161" s="511">
        <f t="shared" si="104"/>
        <v>563930.33357142902</v>
      </c>
      <c r="G1161" s="469">
        <f t="shared" si="105"/>
        <v>578390.08571428619</v>
      </c>
      <c r="H1161" s="506">
        <f>+J1134*G1161+E1161</f>
        <v>115658.50639533377</v>
      </c>
      <c r="I1161" s="512">
        <f>+J1135*G1161+E1161</f>
        <v>115658.50639533377</v>
      </c>
      <c r="J1161" s="509">
        <f t="shared" si="106"/>
        <v>0</v>
      </c>
      <c r="K1161" s="509"/>
      <c r="L1161" s="513"/>
      <c r="M1161" s="509">
        <f t="shared" si="107"/>
        <v>0</v>
      </c>
      <c r="N1161" s="513"/>
      <c r="O1161" s="509">
        <f t="shared" si="108"/>
        <v>0</v>
      </c>
      <c r="P1161" s="509">
        <f t="shared" si="109"/>
        <v>0</v>
      </c>
      <c r="Q1161" s="471"/>
    </row>
    <row r="1162" spans="3:17">
      <c r="C1162" s="505">
        <f>IF(D1133="","-",+C1161+1)</f>
        <v>2038</v>
      </c>
      <c r="D1162" s="469">
        <f t="shared" si="110"/>
        <v>563930.33357142902</v>
      </c>
      <c r="E1162" s="511">
        <f t="shared" si="111"/>
        <v>28919.504285714283</v>
      </c>
      <c r="F1162" s="511">
        <f t="shared" si="104"/>
        <v>535010.82928571478</v>
      </c>
      <c r="G1162" s="469">
        <f t="shared" si="105"/>
        <v>549470.58142857184</v>
      </c>
      <c r="H1162" s="506">
        <f>+J1134*G1162+E1162</f>
        <v>111321.55628985279</v>
      </c>
      <c r="I1162" s="512">
        <f>+J1135*G1162+E1162</f>
        <v>111321.55628985279</v>
      </c>
      <c r="J1162" s="509">
        <f t="shared" si="106"/>
        <v>0</v>
      </c>
      <c r="K1162" s="509"/>
      <c r="L1162" s="513"/>
      <c r="M1162" s="509">
        <f t="shared" si="107"/>
        <v>0</v>
      </c>
      <c r="N1162" s="513"/>
      <c r="O1162" s="509">
        <f t="shared" si="108"/>
        <v>0</v>
      </c>
      <c r="P1162" s="509">
        <f t="shared" si="109"/>
        <v>0</v>
      </c>
      <c r="Q1162" s="471"/>
    </row>
    <row r="1163" spans="3:17">
      <c r="C1163" s="505">
        <f>IF(D1133="","-",+C1162+1)</f>
        <v>2039</v>
      </c>
      <c r="D1163" s="469">
        <f t="shared" si="110"/>
        <v>535010.82928571478</v>
      </c>
      <c r="E1163" s="511">
        <f t="shared" si="111"/>
        <v>28919.504285714283</v>
      </c>
      <c r="F1163" s="511">
        <f t="shared" si="104"/>
        <v>506091.32500000048</v>
      </c>
      <c r="G1163" s="469">
        <f t="shared" si="105"/>
        <v>520551.0771428576</v>
      </c>
      <c r="H1163" s="506">
        <f>+J1134*G1163+E1163</f>
        <v>106984.60618437182</v>
      </c>
      <c r="I1163" s="512">
        <f>+J1135*G1163+E1163</f>
        <v>106984.60618437182</v>
      </c>
      <c r="J1163" s="509">
        <f t="shared" si="106"/>
        <v>0</v>
      </c>
      <c r="K1163" s="509"/>
      <c r="L1163" s="513"/>
      <c r="M1163" s="509">
        <f t="shared" si="107"/>
        <v>0</v>
      </c>
      <c r="N1163" s="513"/>
      <c r="O1163" s="509">
        <f t="shared" si="108"/>
        <v>0</v>
      </c>
      <c r="P1163" s="509">
        <f t="shared" si="109"/>
        <v>0</v>
      </c>
      <c r="Q1163" s="471"/>
    </row>
    <row r="1164" spans="3:17">
      <c r="C1164" s="505">
        <f>IF(D1133="","-",+C1163+1)</f>
        <v>2040</v>
      </c>
      <c r="D1164" s="469">
        <f t="shared" si="110"/>
        <v>506091.32500000048</v>
      </c>
      <c r="E1164" s="511">
        <f t="shared" si="111"/>
        <v>28919.504285714283</v>
      </c>
      <c r="F1164" s="511">
        <f t="shared" si="104"/>
        <v>477171.82071428618</v>
      </c>
      <c r="G1164" s="469">
        <f t="shared" si="105"/>
        <v>491631.57285714336</v>
      </c>
      <c r="H1164" s="506">
        <f>+J1134*G1164+E1164</f>
        <v>102647.65607889085</v>
      </c>
      <c r="I1164" s="512">
        <f>+J1135*G1164+E1164</f>
        <v>102647.65607889085</v>
      </c>
      <c r="J1164" s="509">
        <f t="shared" si="106"/>
        <v>0</v>
      </c>
      <c r="K1164" s="509"/>
      <c r="L1164" s="513"/>
      <c r="M1164" s="509">
        <f t="shared" si="107"/>
        <v>0</v>
      </c>
      <c r="N1164" s="513"/>
      <c r="O1164" s="509">
        <f t="shared" si="108"/>
        <v>0</v>
      </c>
      <c r="P1164" s="509">
        <f t="shared" si="109"/>
        <v>0</v>
      </c>
      <c r="Q1164" s="471"/>
    </row>
    <row r="1165" spans="3:17">
      <c r="C1165" s="505">
        <f>IF(D1133="","-",+C1164+1)</f>
        <v>2041</v>
      </c>
      <c r="D1165" s="469">
        <f t="shared" si="110"/>
        <v>477171.82071428618</v>
      </c>
      <c r="E1165" s="511">
        <f t="shared" si="111"/>
        <v>28919.504285714283</v>
      </c>
      <c r="F1165" s="511">
        <f t="shared" si="104"/>
        <v>448252.31642857188</v>
      </c>
      <c r="G1165" s="469">
        <f t="shared" si="105"/>
        <v>462712.068571429</v>
      </c>
      <c r="H1165" s="506">
        <f>+J1134*G1165+E1165</f>
        <v>98310.705973409873</v>
      </c>
      <c r="I1165" s="512">
        <f>+J1135*G1165+E1165</f>
        <v>98310.705973409873</v>
      </c>
      <c r="J1165" s="509">
        <f t="shared" si="106"/>
        <v>0</v>
      </c>
      <c r="K1165" s="509"/>
      <c r="L1165" s="513"/>
      <c r="M1165" s="509">
        <f t="shared" si="107"/>
        <v>0</v>
      </c>
      <c r="N1165" s="513"/>
      <c r="O1165" s="509">
        <f t="shared" si="108"/>
        <v>0</v>
      </c>
      <c r="P1165" s="509">
        <f t="shared" si="109"/>
        <v>0</v>
      </c>
      <c r="Q1165" s="471"/>
    </row>
    <row r="1166" spans="3:17">
      <c r="C1166" s="505">
        <f>IF(D1133="","-",+C1165+1)</f>
        <v>2042</v>
      </c>
      <c r="D1166" s="469">
        <f t="shared" si="110"/>
        <v>448252.31642857188</v>
      </c>
      <c r="E1166" s="511">
        <f t="shared" si="111"/>
        <v>28919.504285714283</v>
      </c>
      <c r="F1166" s="511">
        <f t="shared" si="104"/>
        <v>419332.81214285758</v>
      </c>
      <c r="G1166" s="469">
        <f t="shared" si="105"/>
        <v>433792.56428571476</v>
      </c>
      <c r="H1166" s="506">
        <f>+J1134*G1166+E1166</f>
        <v>93973.755867928907</v>
      </c>
      <c r="I1166" s="512">
        <f>+J1135*G1166+E1166</f>
        <v>93973.755867928907</v>
      </c>
      <c r="J1166" s="509">
        <f t="shared" si="106"/>
        <v>0</v>
      </c>
      <c r="K1166" s="509"/>
      <c r="L1166" s="513"/>
      <c r="M1166" s="509">
        <f t="shared" si="107"/>
        <v>0</v>
      </c>
      <c r="N1166" s="513"/>
      <c r="O1166" s="509">
        <f t="shared" si="108"/>
        <v>0</v>
      </c>
      <c r="P1166" s="509">
        <f t="shared" si="109"/>
        <v>0</v>
      </c>
      <c r="Q1166" s="471"/>
    </row>
    <row r="1167" spans="3:17">
      <c r="C1167" s="505">
        <f>IF(D1133="","-",+C1166+1)</f>
        <v>2043</v>
      </c>
      <c r="D1167" s="469">
        <f t="shared" si="110"/>
        <v>419332.81214285758</v>
      </c>
      <c r="E1167" s="511">
        <f t="shared" si="111"/>
        <v>28919.504285714283</v>
      </c>
      <c r="F1167" s="511">
        <f t="shared" si="104"/>
        <v>390413.30785714329</v>
      </c>
      <c r="G1167" s="469">
        <f t="shared" si="105"/>
        <v>404873.06000000041</v>
      </c>
      <c r="H1167" s="506">
        <f>+J1134*G1167+E1167</f>
        <v>89636.805762447941</v>
      </c>
      <c r="I1167" s="512">
        <f>+J1135*G1167+E1167</f>
        <v>89636.805762447941</v>
      </c>
      <c r="J1167" s="509">
        <f t="shared" si="106"/>
        <v>0</v>
      </c>
      <c r="K1167" s="509"/>
      <c r="L1167" s="513"/>
      <c r="M1167" s="509">
        <f t="shared" si="107"/>
        <v>0</v>
      </c>
      <c r="N1167" s="513"/>
      <c r="O1167" s="509">
        <f t="shared" si="108"/>
        <v>0</v>
      </c>
      <c r="P1167" s="509">
        <f t="shared" si="109"/>
        <v>0</v>
      </c>
      <c r="Q1167" s="471"/>
    </row>
    <row r="1168" spans="3:17">
      <c r="C1168" s="505">
        <f>IF(D1133="","-",+C1167+1)</f>
        <v>2044</v>
      </c>
      <c r="D1168" s="469">
        <f t="shared" si="110"/>
        <v>390413.30785714329</v>
      </c>
      <c r="E1168" s="511">
        <f t="shared" si="111"/>
        <v>28919.504285714283</v>
      </c>
      <c r="F1168" s="511">
        <f t="shared" si="104"/>
        <v>361493.80357142899</v>
      </c>
      <c r="G1168" s="469">
        <f t="shared" si="105"/>
        <v>375953.55571428617</v>
      </c>
      <c r="H1168" s="506">
        <f>+J1134*G1168+E1168</f>
        <v>85299.855656966974</v>
      </c>
      <c r="I1168" s="512">
        <f>+J1135*G1168+E1168</f>
        <v>85299.855656966974</v>
      </c>
      <c r="J1168" s="509">
        <f t="shared" si="106"/>
        <v>0</v>
      </c>
      <c r="K1168" s="509"/>
      <c r="L1168" s="513"/>
      <c r="M1168" s="509">
        <f t="shared" si="107"/>
        <v>0</v>
      </c>
      <c r="N1168" s="513"/>
      <c r="O1168" s="509">
        <f t="shared" si="108"/>
        <v>0</v>
      </c>
      <c r="P1168" s="509">
        <f t="shared" si="109"/>
        <v>0</v>
      </c>
      <c r="Q1168" s="471"/>
    </row>
    <row r="1169" spans="3:17">
      <c r="C1169" s="505">
        <f>IF(D1133="","-",+C1168+1)</f>
        <v>2045</v>
      </c>
      <c r="D1169" s="469">
        <f t="shared" si="110"/>
        <v>361493.80357142899</v>
      </c>
      <c r="E1169" s="511">
        <f t="shared" si="111"/>
        <v>28919.504285714283</v>
      </c>
      <c r="F1169" s="511">
        <f t="shared" si="104"/>
        <v>332574.29928571469</v>
      </c>
      <c r="G1169" s="469">
        <f t="shared" si="105"/>
        <v>347034.05142857181</v>
      </c>
      <c r="H1169" s="506">
        <f>+J1134*G1169+E1169</f>
        <v>80962.905551485979</v>
      </c>
      <c r="I1169" s="512">
        <f>+J1135*G1169+E1169</f>
        <v>80962.905551485979</v>
      </c>
      <c r="J1169" s="509">
        <f t="shared" si="106"/>
        <v>0</v>
      </c>
      <c r="K1169" s="509"/>
      <c r="L1169" s="513"/>
      <c r="M1169" s="509">
        <f t="shared" si="107"/>
        <v>0</v>
      </c>
      <c r="N1169" s="513"/>
      <c r="O1169" s="509">
        <f t="shared" si="108"/>
        <v>0</v>
      </c>
      <c r="P1169" s="509">
        <f t="shared" si="109"/>
        <v>0</v>
      </c>
      <c r="Q1169" s="471"/>
    </row>
    <row r="1170" spans="3:17">
      <c r="C1170" s="505">
        <f>IF(D1133="","-",+C1169+1)</f>
        <v>2046</v>
      </c>
      <c r="D1170" s="469">
        <f t="shared" si="110"/>
        <v>332574.29928571469</v>
      </c>
      <c r="E1170" s="511">
        <f t="shared" si="111"/>
        <v>28919.504285714283</v>
      </c>
      <c r="F1170" s="511">
        <f t="shared" si="104"/>
        <v>303654.79500000039</v>
      </c>
      <c r="G1170" s="469">
        <f t="shared" si="105"/>
        <v>318114.54714285757</v>
      </c>
      <c r="H1170" s="506">
        <f>+J1134*G1170+E1170</f>
        <v>76625.955446005013</v>
      </c>
      <c r="I1170" s="512">
        <f>+J1135*G1170+E1170</f>
        <v>76625.955446005013</v>
      </c>
      <c r="J1170" s="509">
        <f t="shared" si="106"/>
        <v>0</v>
      </c>
      <c r="K1170" s="509"/>
      <c r="L1170" s="513"/>
      <c r="M1170" s="509">
        <f t="shared" si="107"/>
        <v>0</v>
      </c>
      <c r="N1170" s="513"/>
      <c r="O1170" s="509">
        <f t="shared" si="108"/>
        <v>0</v>
      </c>
      <c r="P1170" s="509">
        <f t="shared" si="109"/>
        <v>0</v>
      </c>
      <c r="Q1170" s="471"/>
    </row>
    <row r="1171" spans="3:17">
      <c r="C1171" s="505">
        <f>IF(D1133="","-",+C1170+1)</f>
        <v>2047</v>
      </c>
      <c r="D1171" s="469">
        <f t="shared" si="110"/>
        <v>303654.79500000039</v>
      </c>
      <c r="E1171" s="511">
        <f t="shared" si="111"/>
        <v>28919.504285714283</v>
      </c>
      <c r="F1171" s="511">
        <f t="shared" si="104"/>
        <v>274735.29071428609</v>
      </c>
      <c r="G1171" s="469">
        <f t="shared" si="105"/>
        <v>289195.04285714321</v>
      </c>
      <c r="H1171" s="506">
        <f>+J1134*G1171+E1171</f>
        <v>72289.005340524047</v>
      </c>
      <c r="I1171" s="512">
        <f>+J1135*G1171+E1171</f>
        <v>72289.005340524047</v>
      </c>
      <c r="J1171" s="509">
        <f t="shared" si="106"/>
        <v>0</v>
      </c>
      <c r="K1171" s="509"/>
      <c r="L1171" s="513"/>
      <c r="M1171" s="509">
        <f t="shared" si="107"/>
        <v>0</v>
      </c>
      <c r="N1171" s="513"/>
      <c r="O1171" s="509">
        <f t="shared" si="108"/>
        <v>0</v>
      </c>
      <c r="P1171" s="509">
        <f t="shared" si="109"/>
        <v>0</v>
      </c>
      <c r="Q1171" s="471"/>
    </row>
    <row r="1172" spans="3:17">
      <c r="C1172" s="505">
        <f>IF(D1133="","-",+C1171+1)</f>
        <v>2048</v>
      </c>
      <c r="D1172" s="469">
        <f t="shared" si="110"/>
        <v>274735.29071428609</v>
      </c>
      <c r="E1172" s="511">
        <f t="shared" si="111"/>
        <v>28919.504285714283</v>
      </c>
      <c r="F1172" s="511">
        <f t="shared" si="104"/>
        <v>245815.7864285718</v>
      </c>
      <c r="G1172" s="469">
        <f t="shared" si="105"/>
        <v>260275.53857142894</v>
      </c>
      <c r="H1172" s="506">
        <f>+J1134*G1172+E1172</f>
        <v>67952.055235043081</v>
      </c>
      <c r="I1172" s="512">
        <f>+J1135*G1172+E1172</f>
        <v>67952.055235043081</v>
      </c>
      <c r="J1172" s="509">
        <f t="shared" si="106"/>
        <v>0</v>
      </c>
      <c r="K1172" s="509"/>
      <c r="L1172" s="513"/>
      <c r="M1172" s="509">
        <f t="shared" si="107"/>
        <v>0</v>
      </c>
      <c r="N1172" s="513"/>
      <c r="O1172" s="509">
        <f t="shared" si="108"/>
        <v>0</v>
      </c>
      <c r="P1172" s="509">
        <f t="shared" si="109"/>
        <v>0</v>
      </c>
      <c r="Q1172" s="471"/>
    </row>
    <row r="1173" spans="3:17">
      <c r="C1173" s="505">
        <f>IF(D1133="","-",+C1172+1)</f>
        <v>2049</v>
      </c>
      <c r="D1173" s="469">
        <f t="shared" si="110"/>
        <v>245815.7864285718</v>
      </c>
      <c r="E1173" s="511">
        <f t="shared" si="111"/>
        <v>28919.504285714283</v>
      </c>
      <c r="F1173" s="511">
        <f t="shared" si="104"/>
        <v>216896.2821428575</v>
      </c>
      <c r="G1173" s="469">
        <f t="shared" si="105"/>
        <v>231356.03428571465</v>
      </c>
      <c r="H1173" s="506">
        <f>+J1134*G1173+E1173</f>
        <v>63615.1051295621</v>
      </c>
      <c r="I1173" s="512">
        <f>+J1135*G1173+E1173</f>
        <v>63615.1051295621</v>
      </c>
      <c r="J1173" s="509">
        <f t="shared" si="106"/>
        <v>0</v>
      </c>
      <c r="K1173" s="509"/>
      <c r="L1173" s="513"/>
      <c r="M1173" s="509">
        <f t="shared" si="107"/>
        <v>0</v>
      </c>
      <c r="N1173" s="513"/>
      <c r="O1173" s="509">
        <f t="shared" si="108"/>
        <v>0</v>
      </c>
      <c r="P1173" s="509">
        <f t="shared" si="109"/>
        <v>0</v>
      </c>
      <c r="Q1173" s="471"/>
    </row>
    <row r="1174" spans="3:17">
      <c r="C1174" s="505">
        <f>IF(D1133="","-",+C1173+1)</f>
        <v>2050</v>
      </c>
      <c r="D1174" s="469">
        <f t="shared" si="110"/>
        <v>216896.2821428575</v>
      </c>
      <c r="E1174" s="511">
        <f t="shared" si="111"/>
        <v>28919.504285714283</v>
      </c>
      <c r="F1174" s="511">
        <f t="shared" si="104"/>
        <v>187976.7778571432</v>
      </c>
      <c r="G1174" s="469">
        <f t="shared" si="105"/>
        <v>202436.53000000035</v>
      </c>
      <c r="H1174" s="506">
        <f>+J1134*G1174+E1174</f>
        <v>59278.155024081134</v>
      </c>
      <c r="I1174" s="512">
        <f>+J1135*G1174+E1174</f>
        <v>59278.155024081134</v>
      </c>
      <c r="J1174" s="509">
        <f t="shared" si="106"/>
        <v>0</v>
      </c>
      <c r="K1174" s="509"/>
      <c r="L1174" s="513"/>
      <c r="M1174" s="509">
        <f t="shared" si="107"/>
        <v>0</v>
      </c>
      <c r="N1174" s="513"/>
      <c r="O1174" s="509">
        <f t="shared" si="108"/>
        <v>0</v>
      </c>
      <c r="P1174" s="509">
        <f t="shared" si="109"/>
        <v>0</v>
      </c>
      <c r="Q1174" s="471"/>
    </row>
    <row r="1175" spans="3:17">
      <c r="C1175" s="505">
        <f>IF(D1133="","-",+C1174+1)</f>
        <v>2051</v>
      </c>
      <c r="D1175" s="469">
        <f t="shared" si="110"/>
        <v>187976.7778571432</v>
      </c>
      <c r="E1175" s="511">
        <f t="shared" si="111"/>
        <v>28919.504285714283</v>
      </c>
      <c r="F1175" s="511">
        <f t="shared" si="104"/>
        <v>159057.2735714289</v>
      </c>
      <c r="G1175" s="469">
        <f t="shared" si="105"/>
        <v>173517.02571428605</v>
      </c>
      <c r="H1175" s="506">
        <f>+J1134*G1175+E1175</f>
        <v>54941.204918600153</v>
      </c>
      <c r="I1175" s="512">
        <f>+J1135*G1175+E1175</f>
        <v>54941.204918600153</v>
      </c>
      <c r="J1175" s="509">
        <f t="shared" si="106"/>
        <v>0</v>
      </c>
      <c r="K1175" s="509"/>
      <c r="L1175" s="513"/>
      <c r="M1175" s="509">
        <f t="shared" si="107"/>
        <v>0</v>
      </c>
      <c r="N1175" s="513"/>
      <c r="O1175" s="509">
        <f t="shared" si="108"/>
        <v>0</v>
      </c>
      <c r="P1175" s="509">
        <f t="shared" si="109"/>
        <v>0</v>
      </c>
      <c r="Q1175" s="471"/>
    </row>
    <row r="1176" spans="3:17">
      <c r="C1176" s="505">
        <f>IF(D1133="","-",+C1175+1)</f>
        <v>2052</v>
      </c>
      <c r="D1176" s="469">
        <f t="shared" si="110"/>
        <v>159057.2735714289</v>
      </c>
      <c r="E1176" s="511">
        <f t="shared" si="111"/>
        <v>28919.504285714283</v>
      </c>
      <c r="F1176" s="511">
        <f t="shared" si="104"/>
        <v>130137.76928571462</v>
      </c>
      <c r="G1176" s="469">
        <f t="shared" si="105"/>
        <v>144597.52142857175</v>
      </c>
      <c r="H1176" s="506">
        <f>+J1134*G1176+E1176</f>
        <v>50604.254813119187</v>
      </c>
      <c r="I1176" s="512">
        <f>+J1135*G1176+E1176</f>
        <v>50604.254813119187</v>
      </c>
      <c r="J1176" s="509">
        <f t="shared" si="106"/>
        <v>0</v>
      </c>
      <c r="K1176" s="509"/>
      <c r="L1176" s="513"/>
      <c r="M1176" s="509">
        <f t="shared" si="107"/>
        <v>0</v>
      </c>
      <c r="N1176" s="513"/>
      <c r="O1176" s="509">
        <f t="shared" si="108"/>
        <v>0</v>
      </c>
      <c r="P1176" s="509">
        <f t="shared" si="109"/>
        <v>0</v>
      </c>
      <c r="Q1176" s="471"/>
    </row>
    <row r="1177" spans="3:17">
      <c r="C1177" s="505">
        <f>IF(D1133="","-",+C1176+1)</f>
        <v>2053</v>
      </c>
      <c r="D1177" s="469">
        <f t="shared" si="110"/>
        <v>130137.76928571462</v>
      </c>
      <c r="E1177" s="511">
        <f t="shared" si="111"/>
        <v>28919.504285714283</v>
      </c>
      <c r="F1177" s="511">
        <f t="shared" si="104"/>
        <v>101218.26500000033</v>
      </c>
      <c r="G1177" s="469">
        <f t="shared" si="105"/>
        <v>115678.01714285748</v>
      </c>
      <c r="H1177" s="506">
        <f>+J1134*G1177+E1177</f>
        <v>46267.304707638221</v>
      </c>
      <c r="I1177" s="512">
        <f>+J1135*G1177+E1177</f>
        <v>46267.304707638221</v>
      </c>
      <c r="J1177" s="509">
        <f t="shared" si="106"/>
        <v>0</v>
      </c>
      <c r="K1177" s="509"/>
      <c r="L1177" s="513"/>
      <c r="M1177" s="509">
        <f t="shared" si="107"/>
        <v>0</v>
      </c>
      <c r="N1177" s="513"/>
      <c r="O1177" s="509">
        <f t="shared" si="108"/>
        <v>0</v>
      </c>
      <c r="P1177" s="509">
        <f t="shared" si="109"/>
        <v>0</v>
      </c>
      <c r="Q1177" s="471"/>
    </row>
    <row r="1178" spans="3:17">
      <c r="C1178" s="505">
        <f>IF(D1133="","-",+C1177+1)</f>
        <v>2054</v>
      </c>
      <c r="D1178" s="469">
        <f t="shared" si="110"/>
        <v>101218.26500000033</v>
      </c>
      <c r="E1178" s="511">
        <f t="shared" si="111"/>
        <v>28919.504285714283</v>
      </c>
      <c r="F1178" s="511">
        <f t="shared" si="104"/>
        <v>72298.760714286051</v>
      </c>
      <c r="G1178" s="469">
        <f t="shared" si="105"/>
        <v>86758.512857143185</v>
      </c>
      <c r="H1178" s="506">
        <f>+J1134*G1178+E1178</f>
        <v>41930.35460215724</v>
      </c>
      <c r="I1178" s="512">
        <f>+J1135*G1178+E1178</f>
        <v>41930.35460215724</v>
      </c>
      <c r="J1178" s="509">
        <f t="shared" si="106"/>
        <v>0</v>
      </c>
      <c r="K1178" s="509"/>
      <c r="L1178" s="513"/>
      <c r="M1178" s="509">
        <f t="shared" si="107"/>
        <v>0</v>
      </c>
      <c r="N1178" s="513"/>
      <c r="O1178" s="509">
        <f t="shared" si="108"/>
        <v>0</v>
      </c>
      <c r="P1178" s="509">
        <f t="shared" si="109"/>
        <v>0</v>
      </c>
      <c r="Q1178" s="471"/>
    </row>
    <row r="1179" spans="3:17">
      <c r="C1179" s="505">
        <f>IF(D1133="","-",+C1178+1)</f>
        <v>2055</v>
      </c>
      <c r="D1179" s="469">
        <f t="shared" si="110"/>
        <v>72298.760714286051</v>
      </c>
      <c r="E1179" s="511">
        <f t="shared" si="111"/>
        <v>28919.504285714283</v>
      </c>
      <c r="F1179" s="511">
        <f t="shared" si="104"/>
        <v>43379.256428571767</v>
      </c>
      <c r="G1179" s="469">
        <f t="shared" si="105"/>
        <v>57839.008571428909</v>
      </c>
      <c r="H1179" s="506">
        <f>+J1134*G1179+E1179</f>
        <v>37593.404496676274</v>
      </c>
      <c r="I1179" s="512">
        <f>+J1135*G1179+E1179</f>
        <v>37593.404496676274</v>
      </c>
      <c r="J1179" s="509">
        <f t="shared" si="106"/>
        <v>0</v>
      </c>
      <c r="K1179" s="509"/>
      <c r="L1179" s="513"/>
      <c r="M1179" s="509">
        <f t="shared" si="107"/>
        <v>0</v>
      </c>
      <c r="N1179" s="513"/>
      <c r="O1179" s="509">
        <f t="shared" si="108"/>
        <v>0</v>
      </c>
      <c r="P1179" s="509">
        <f t="shared" si="109"/>
        <v>0</v>
      </c>
      <c r="Q1179" s="471"/>
    </row>
    <row r="1180" spans="3:17">
      <c r="C1180" s="505">
        <f>IF(D1133="","-",+C1179+1)</f>
        <v>2056</v>
      </c>
      <c r="D1180" s="469">
        <f t="shared" si="110"/>
        <v>43379.256428571767</v>
      </c>
      <c r="E1180" s="511">
        <f t="shared" si="111"/>
        <v>28919.504285714283</v>
      </c>
      <c r="F1180" s="511">
        <f t="shared" si="104"/>
        <v>14459.752142857484</v>
      </c>
      <c r="G1180" s="469">
        <f t="shared" si="105"/>
        <v>28919.504285714625</v>
      </c>
      <c r="H1180" s="506">
        <f>+J1134*G1180+E1180</f>
        <v>33256.454391195308</v>
      </c>
      <c r="I1180" s="512">
        <f>+J1135*G1180+E1180</f>
        <v>33256.454391195308</v>
      </c>
      <c r="J1180" s="509">
        <f t="shared" si="106"/>
        <v>0</v>
      </c>
      <c r="K1180" s="509"/>
      <c r="L1180" s="513"/>
      <c r="M1180" s="509">
        <f t="shared" si="107"/>
        <v>0</v>
      </c>
      <c r="N1180" s="513"/>
      <c r="O1180" s="509">
        <f t="shared" si="108"/>
        <v>0</v>
      </c>
      <c r="P1180" s="509">
        <f t="shared" si="109"/>
        <v>0</v>
      </c>
      <c r="Q1180" s="471"/>
    </row>
    <row r="1181" spans="3:17">
      <c r="C1181" s="505">
        <f>IF(D1133="","-",+C1180+1)</f>
        <v>2057</v>
      </c>
      <c r="D1181" s="469">
        <f t="shared" si="110"/>
        <v>14459.752142857484</v>
      </c>
      <c r="E1181" s="511">
        <f t="shared" si="111"/>
        <v>14459.752142857484</v>
      </c>
      <c r="F1181" s="511">
        <f t="shared" si="104"/>
        <v>0</v>
      </c>
      <c r="G1181" s="469">
        <f t="shared" si="105"/>
        <v>7229.8760714287419</v>
      </c>
      <c r="H1181" s="506">
        <f>+J1134*G1181+E1181</f>
        <v>15543.989669227753</v>
      </c>
      <c r="I1181" s="512">
        <f>+J1135*G1181+E1181</f>
        <v>15543.989669227753</v>
      </c>
      <c r="J1181" s="509">
        <f t="shared" si="106"/>
        <v>0</v>
      </c>
      <c r="K1181" s="509"/>
      <c r="L1181" s="513"/>
      <c r="M1181" s="509">
        <f t="shared" si="107"/>
        <v>0</v>
      </c>
      <c r="N1181" s="513"/>
      <c r="O1181" s="509">
        <f t="shared" si="108"/>
        <v>0</v>
      </c>
      <c r="P1181" s="509">
        <f t="shared" si="109"/>
        <v>0</v>
      </c>
      <c r="Q1181" s="471"/>
    </row>
    <row r="1182" spans="3:17">
      <c r="C1182" s="505">
        <f>IF(D1133="","-",+C1181+1)</f>
        <v>2058</v>
      </c>
      <c r="D1182" s="469">
        <f t="shared" si="110"/>
        <v>0</v>
      </c>
      <c r="E1182" s="511">
        <f t="shared" si="111"/>
        <v>0</v>
      </c>
      <c r="F1182" s="511">
        <f t="shared" si="104"/>
        <v>0</v>
      </c>
      <c r="G1182" s="469">
        <f t="shared" si="105"/>
        <v>0</v>
      </c>
      <c r="H1182" s="506">
        <f>+J1134*G1182+E1182</f>
        <v>0</v>
      </c>
      <c r="I1182" s="512">
        <f>+J1135*G1182+E1182</f>
        <v>0</v>
      </c>
      <c r="J1182" s="509">
        <f t="shared" si="106"/>
        <v>0</v>
      </c>
      <c r="K1182" s="509"/>
      <c r="L1182" s="513"/>
      <c r="M1182" s="509">
        <f t="shared" si="107"/>
        <v>0</v>
      </c>
      <c r="N1182" s="513"/>
      <c r="O1182" s="509">
        <f t="shared" si="108"/>
        <v>0</v>
      </c>
      <c r="P1182" s="509">
        <f t="shared" si="109"/>
        <v>0</v>
      </c>
      <c r="Q1182" s="471"/>
    </row>
    <row r="1183" spans="3:17">
      <c r="C1183" s="505">
        <f>IF(D1133="","-",+C1182+1)</f>
        <v>2059</v>
      </c>
      <c r="D1183" s="469">
        <f t="shared" si="110"/>
        <v>0</v>
      </c>
      <c r="E1183" s="511">
        <f t="shared" si="111"/>
        <v>0</v>
      </c>
      <c r="F1183" s="511">
        <f t="shared" si="104"/>
        <v>0</v>
      </c>
      <c r="G1183" s="469">
        <f t="shared" si="105"/>
        <v>0</v>
      </c>
      <c r="H1183" s="506">
        <f>+J1134*G1183+E1183</f>
        <v>0</v>
      </c>
      <c r="I1183" s="512">
        <f>+J1135*G1183+E1183</f>
        <v>0</v>
      </c>
      <c r="J1183" s="509">
        <f t="shared" si="106"/>
        <v>0</v>
      </c>
      <c r="K1183" s="509"/>
      <c r="L1183" s="513"/>
      <c r="M1183" s="509">
        <f t="shared" si="107"/>
        <v>0</v>
      </c>
      <c r="N1183" s="513"/>
      <c r="O1183" s="509">
        <f t="shared" si="108"/>
        <v>0</v>
      </c>
      <c r="P1183" s="509">
        <f t="shared" si="109"/>
        <v>0</v>
      </c>
      <c r="Q1183" s="471"/>
    </row>
    <row r="1184" spans="3:17">
      <c r="C1184" s="505">
        <f>IF(D1133="","-",+C1183+1)</f>
        <v>2060</v>
      </c>
      <c r="D1184" s="469">
        <f t="shared" si="110"/>
        <v>0</v>
      </c>
      <c r="E1184" s="511">
        <f t="shared" si="111"/>
        <v>0</v>
      </c>
      <c r="F1184" s="511">
        <f t="shared" si="104"/>
        <v>0</v>
      </c>
      <c r="G1184" s="469">
        <f t="shared" si="105"/>
        <v>0</v>
      </c>
      <c r="H1184" s="506">
        <f>+J1134*G1184+E1184</f>
        <v>0</v>
      </c>
      <c r="I1184" s="512">
        <f>+J1135*G1184+E1184</f>
        <v>0</v>
      </c>
      <c r="J1184" s="509">
        <f t="shared" si="106"/>
        <v>0</v>
      </c>
      <c r="K1184" s="509"/>
      <c r="L1184" s="513"/>
      <c r="M1184" s="509">
        <f t="shared" si="107"/>
        <v>0</v>
      </c>
      <c r="N1184" s="513"/>
      <c r="O1184" s="509">
        <f t="shared" si="108"/>
        <v>0</v>
      </c>
      <c r="P1184" s="509">
        <f t="shared" si="109"/>
        <v>0</v>
      </c>
      <c r="Q1184" s="471"/>
    </row>
    <row r="1185" spans="3:17">
      <c r="C1185" s="505">
        <f>IF(D1133="","-",+C1184+1)</f>
        <v>2061</v>
      </c>
      <c r="D1185" s="469">
        <f t="shared" si="110"/>
        <v>0</v>
      </c>
      <c r="E1185" s="511">
        <f t="shared" si="111"/>
        <v>0</v>
      </c>
      <c r="F1185" s="511">
        <f t="shared" si="104"/>
        <v>0</v>
      </c>
      <c r="G1185" s="469">
        <f t="shared" si="105"/>
        <v>0</v>
      </c>
      <c r="H1185" s="506">
        <f>+J1134*G1185+E1185</f>
        <v>0</v>
      </c>
      <c r="I1185" s="512">
        <f>+J1135*G1185+E1185</f>
        <v>0</v>
      </c>
      <c r="J1185" s="509">
        <f t="shared" si="106"/>
        <v>0</v>
      </c>
      <c r="K1185" s="509"/>
      <c r="L1185" s="513"/>
      <c r="M1185" s="509">
        <f t="shared" si="107"/>
        <v>0</v>
      </c>
      <c r="N1185" s="513"/>
      <c r="O1185" s="509">
        <f t="shared" si="108"/>
        <v>0</v>
      </c>
      <c r="P1185" s="509">
        <f t="shared" si="109"/>
        <v>0</v>
      </c>
      <c r="Q1185" s="471"/>
    </row>
    <row r="1186" spans="3:17">
      <c r="C1186" s="505">
        <f>IF(D1133="","-",+C1185+1)</f>
        <v>2062</v>
      </c>
      <c r="D1186" s="469">
        <f t="shared" si="110"/>
        <v>0</v>
      </c>
      <c r="E1186" s="511">
        <f t="shared" si="111"/>
        <v>0</v>
      </c>
      <c r="F1186" s="511">
        <f t="shared" si="104"/>
        <v>0</v>
      </c>
      <c r="G1186" s="469">
        <f t="shared" si="105"/>
        <v>0</v>
      </c>
      <c r="H1186" s="506">
        <f>+J1134*G1186+E1186</f>
        <v>0</v>
      </c>
      <c r="I1186" s="512">
        <f>+J1135*G1186+E1186</f>
        <v>0</v>
      </c>
      <c r="J1186" s="509">
        <f t="shared" si="106"/>
        <v>0</v>
      </c>
      <c r="K1186" s="509"/>
      <c r="L1186" s="513"/>
      <c r="M1186" s="509">
        <f t="shared" si="107"/>
        <v>0</v>
      </c>
      <c r="N1186" s="513"/>
      <c r="O1186" s="509">
        <f t="shared" si="108"/>
        <v>0</v>
      </c>
      <c r="P1186" s="509">
        <f t="shared" si="109"/>
        <v>0</v>
      </c>
      <c r="Q1186" s="471"/>
    </row>
    <row r="1187" spans="3:17">
      <c r="C1187" s="505">
        <f>IF(D1133="","-",+C1186+1)</f>
        <v>2063</v>
      </c>
      <c r="D1187" s="469">
        <f t="shared" si="110"/>
        <v>0</v>
      </c>
      <c r="E1187" s="511">
        <f t="shared" si="111"/>
        <v>0</v>
      </c>
      <c r="F1187" s="511">
        <f t="shared" si="104"/>
        <v>0</v>
      </c>
      <c r="G1187" s="469">
        <f t="shared" si="105"/>
        <v>0</v>
      </c>
      <c r="H1187" s="506">
        <f>+J1134*G1187+E1187</f>
        <v>0</v>
      </c>
      <c r="I1187" s="512">
        <f>+J1135*G1187+E1187</f>
        <v>0</v>
      </c>
      <c r="J1187" s="509">
        <f t="shared" si="106"/>
        <v>0</v>
      </c>
      <c r="K1187" s="509"/>
      <c r="L1187" s="513"/>
      <c r="M1187" s="509">
        <f t="shared" si="107"/>
        <v>0</v>
      </c>
      <c r="N1187" s="513"/>
      <c r="O1187" s="509">
        <f t="shared" si="108"/>
        <v>0</v>
      </c>
      <c r="P1187" s="509">
        <f t="shared" si="109"/>
        <v>0</v>
      </c>
      <c r="Q1187" s="471"/>
    </row>
    <row r="1188" spans="3:17">
      <c r="C1188" s="505">
        <f>IF(D1133="","-",+C1187+1)</f>
        <v>2064</v>
      </c>
      <c r="D1188" s="469">
        <f t="shared" si="110"/>
        <v>0</v>
      </c>
      <c r="E1188" s="511">
        <f t="shared" si="111"/>
        <v>0</v>
      </c>
      <c r="F1188" s="511">
        <f t="shared" si="104"/>
        <v>0</v>
      </c>
      <c r="G1188" s="469">
        <f t="shared" si="105"/>
        <v>0</v>
      </c>
      <c r="H1188" s="506">
        <f>+J1134*G1188+E1188</f>
        <v>0</v>
      </c>
      <c r="I1188" s="512">
        <f>+J1135*G1188+E1188</f>
        <v>0</v>
      </c>
      <c r="J1188" s="509">
        <f t="shared" si="106"/>
        <v>0</v>
      </c>
      <c r="K1188" s="509"/>
      <c r="L1188" s="513"/>
      <c r="M1188" s="509">
        <f t="shared" si="107"/>
        <v>0</v>
      </c>
      <c r="N1188" s="513"/>
      <c r="O1188" s="509">
        <f t="shared" si="108"/>
        <v>0</v>
      </c>
      <c r="P1188" s="509">
        <f t="shared" si="109"/>
        <v>0</v>
      </c>
      <c r="Q1188" s="471"/>
    </row>
    <row r="1189" spans="3:17">
      <c r="C1189" s="505">
        <f>IF(D1133="","-",+C1188+1)</f>
        <v>2065</v>
      </c>
      <c r="D1189" s="469">
        <f t="shared" si="110"/>
        <v>0</v>
      </c>
      <c r="E1189" s="511">
        <f t="shared" si="111"/>
        <v>0</v>
      </c>
      <c r="F1189" s="511">
        <f t="shared" si="104"/>
        <v>0</v>
      </c>
      <c r="G1189" s="469">
        <f t="shared" si="105"/>
        <v>0</v>
      </c>
      <c r="H1189" s="506">
        <f>+J1134*G1189+E1189</f>
        <v>0</v>
      </c>
      <c r="I1189" s="512">
        <f>+J1135*G1189+E1189</f>
        <v>0</v>
      </c>
      <c r="J1189" s="509">
        <f t="shared" si="106"/>
        <v>0</v>
      </c>
      <c r="K1189" s="509"/>
      <c r="L1189" s="513"/>
      <c r="M1189" s="509">
        <f t="shared" si="107"/>
        <v>0</v>
      </c>
      <c r="N1189" s="513"/>
      <c r="O1189" s="509">
        <f t="shared" si="108"/>
        <v>0</v>
      </c>
      <c r="P1189" s="509">
        <f t="shared" si="109"/>
        <v>0</v>
      </c>
      <c r="Q1189" s="471"/>
    </row>
    <row r="1190" spans="3:17">
      <c r="C1190" s="505">
        <f>IF(D1133="","-",+C1189+1)</f>
        <v>2066</v>
      </c>
      <c r="D1190" s="469">
        <f t="shared" si="110"/>
        <v>0</v>
      </c>
      <c r="E1190" s="511">
        <f t="shared" si="111"/>
        <v>0</v>
      </c>
      <c r="F1190" s="511">
        <f t="shared" si="104"/>
        <v>0</v>
      </c>
      <c r="G1190" s="469">
        <f t="shared" si="105"/>
        <v>0</v>
      </c>
      <c r="H1190" s="506">
        <f>+J1134*G1190+E1190</f>
        <v>0</v>
      </c>
      <c r="I1190" s="512">
        <f>+J1135*G1190+E1190</f>
        <v>0</v>
      </c>
      <c r="J1190" s="509">
        <f t="shared" si="106"/>
        <v>0</v>
      </c>
      <c r="K1190" s="509"/>
      <c r="L1190" s="513"/>
      <c r="M1190" s="509">
        <f t="shared" si="107"/>
        <v>0</v>
      </c>
      <c r="N1190" s="513"/>
      <c r="O1190" s="509">
        <f t="shared" si="108"/>
        <v>0</v>
      </c>
      <c r="P1190" s="509">
        <f t="shared" si="109"/>
        <v>0</v>
      </c>
      <c r="Q1190" s="471"/>
    </row>
    <row r="1191" spans="3:17">
      <c r="C1191" s="505">
        <f>IF(D1133="","-",+C1190+1)</f>
        <v>2067</v>
      </c>
      <c r="D1191" s="469">
        <f t="shared" si="110"/>
        <v>0</v>
      </c>
      <c r="E1191" s="511">
        <f t="shared" si="111"/>
        <v>0</v>
      </c>
      <c r="F1191" s="511">
        <f t="shared" si="104"/>
        <v>0</v>
      </c>
      <c r="G1191" s="469">
        <f t="shared" si="105"/>
        <v>0</v>
      </c>
      <c r="H1191" s="506">
        <f>+J1134*G1191+E1191</f>
        <v>0</v>
      </c>
      <c r="I1191" s="512">
        <f>+J1135*G1191+E1191</f>
        <v>0</v>
      </c>
      <c r="J1191" s="509">
        <f t="shared" si="106"/>
        <v>0</v>
      </c>
      <c r="K1191" s="509"/>
      <c r="L1191" s="513"/>
      <c r="M1191" s="509">
        <f t="shared" si="107"/>
        <v>0</v>
      </c>
      <c r="N1191" s="513"/>
      <c r="O1191" s="509">
        <f t="shared" si="108"/>
        <v>0</v>
      </c>
      <c r="P1191" s="509">
        <f t="shared" si="109"/>
        <v>0</v>
      </c>
      <c r="Q1191" s="471"/>
    </row>
    <row r="1192" spans="3:17">
      <c r="C1192" s="505">
        <f>IF(D1133="","-",+C1191+1)</f>
        <v>2068</v>
      </c>
      <c r="D1192" s="469">
        <f t="shared" si="110"/>
        <v>0</v>
      </c>
      <c r="E1192" s="511">
        <f t="shared" si="111"/>
        <v>0</v>
      </c>
      <c r="F1192" s="511">
        <f t="shared" si="104"/>
        <v>0</v>
      </c>
      <c r="G1192" s="469">
        <f t="shared" si="105"/>
        <v>0</v>
      </c>
      <c r="H1192" s="506">
        <f>+J1134*G1192+E1192</f>
        <v>0</v>
      </c>
      <c r="I1192" s="512">
        <f>+J1135*G1192+E1192</f>
        <v>0</v>
      </c>
      <c r="J1192" s="509">
        <f t="shared" si="106"/>
        <v>0</v>
      </c>
      <c r="K1192" s="509"/>
      <c r="L1192" s="513"/>
      <c r="M1192" s="509">
        <f t="shared" si="107"/>
        <v>0</v>
      </c>
      <c r="N1192" s="513"/>
      <c r="O1192" s="509">
        <f t="shared" si="108"/>
        <v>0</v>
      </c>
      <c r="P1192" s="509">
        <f t="shared" si="109"/>
        <v>0</v>
      </c>
      <c r="Q1192" s="471"/>
    </row>
    <row r="1193" spans="3:17">
      <c r="C1193" s="505">
        <f>IF(D1133="","-",+C1192+1)</f>
        <v>2069</v>
      </c>
      <c r="D1193" s="469">
        <f t="shared" si="110"/>
        <v>0</v>
      </c>
      <c r="E1193" s="511">
        <f t="shared" si="111"/>
        <v>0</v>
      </c>
      <c r="F1193" s="511">
        <f t="shared" si="104"/>
        <v>0</v>
      </c>
      <c r="G1193" s="469">
        <f t="shared" si="105"/>
        <v>0</v>
      </c>
      <c r="H1193" s="506">
        <f>+J1134*G1193+E1193</f>
        <v>0</v>
      </c>
      <c r="I1193" s="512">
        <f>+J1135*G1193+E1193</f>
        <v>0</v>
      </c>
      <c r="J1193" s="509">
        <f t="shared" si="106"/>
        <v>0</v>
      </c>
      <c r="K1193" s="509"/>
      <c r="L1193" s="513"/>
      <c r="M1193" s="509">
        <f t="shared" si="107"/>
        <v>0</v>
      </c>
      <c r="N1193" s="513"/>
      <c r="O1193" s="509">
        <f t="shared" si="108"/>
        <v>0</v>
      </c>
      <c r="P1193" s="509">
        <f t="shared" si="109"/>
        <v>0</v>
      </c>
      <c r="Q1193" s="471"/>
    </row>
    <row r="1194" spans="3:17">
      <c r="C1194" s="505">
        <f>IF(D1133="","-",+C1193+1)</f>
        <v>2070</v>
      </c>
      <c r="D1194" s="469">
        <f t="shared" si="110"/>
        <v>0</v>
      </c>
      <c r="E1194" s="511">
        <f t="shared" si="111"/>
        <v>0</v>
      </c>
      <c r="F1194" s="511">
        <f t="shared" si="104"/>
        <v>0</v>
      </c>
      <c r="G1194" s="469">
        <f t="shared" si="105"/>
        <v>0</v>
      </c>
      <c r="H1194" s="506">
        <f>+J1134*G1194+E1194</f>
        <v>0</v>
      </c>
      <c r="I1194" s="512">
        <f>+J1135*G1194+E1194</f>
        <v>0</v>
      </c>
      <c r="J1194" s="509">
        <f t="shared" si="106"/>
        <v>0</v>
      </c>
      <c r="K1194" s="509"/>
      <c r="L1194" s="513"/>
      <c r="M1194" s="509">
        <f t="shared" si="107"/>
        <v>0</v>
      </c>
      <c r="N1194" s="513"/>
      <c r="O1194" s="509">
        <f t="shared" si="108"/>
        <v>0</v>
      </c>
      <c r="P1194" s="509">
        <f t="shared" si="109"/>
        <v>0</v>
      </c>
      <c r="Q1194" s="471"/>
    </row>
    <row r="1195" spans="3:17">
      <c r="C1195" s="505">
        <f>IF(D1133="","-",+C1194+1)</f>
        <v>2071</v>
      </c>
      <c r="D1195" s="469">
        <f t="shared" si="110"/>
        <v>0</v>
      </c>
      <c r="E1195" s="511">
        <f t="shared" si="111"/>
        <v>0</v>
      </c>
      <c r="F1195" s="511">
        <f t="shared" si="104"/>
        <v>0</v>
      </c>
      <c r="G1195" s="469">
        <f t="shared" si="105"/>
        <v>0</v>
      </c>
      <c r="H1195" s="506">
        <f>+J1134*G1195+E1195</f>
        <v>0</v>
      </c>
      <c r="I1195" s="512">
        <f>+J1135*G1195+E1195</f>
        <v>0</v>
      </c>
      <c r="J1195" s="509">
        <f t="shared" si="106"/>
        <v>0</v>
      </c>
      <c r="K1195" s="509"/>
      <c r="L1195" s="513"/>
      <c r="M1195" s="509">
        <f t="shared" si="107"/>
        <v>0</v>
      </c>
      <c r="N1195" s="513"/>
      <c r="O1195" s="509">
        <f t="shared" si="108"/>
        <v>0</v>
      </c>
      <c r="P1195" s="509">
        <f t="shared" si="109"/>
        <v>0</v>
      </c>
      <c r="Q1195" s="471"/>
    </row>
    <row r="1196" spans="3:17">
      <c r="C1196" s="505">
        <f>IF(D1133="","-",+C1195+1)</f>
        <v>2072</v>
      </c>
      <c r="D1196" s="469">
        <f t="shared" si="110"/>
        <v>0</v>
      </c>
      <c r="E1196" s="511">
        <f t="shared" si="111"/>
        <v>0</v>
      </c>
      <c r="F1196" s="511">
        <f t="shared" si="104"/>
        <v>0</v>
      </c>
      <c r="G1196" s="469">
        <f t="shared" si="105"/>
        <v>0</v>
      </c>
      <c r="H1196" s="506">
        <f>+J1134*G1196+E1196</f>
        <v>0</v>
      </c>
      <c r="I1196" s="512">
        <f>+J1135*G1196+E1196</f>
        <v>0</v>
      </c>
      <c r="J1196" s="509">
        <f t="shared" si="106"/>
        <v>0</v>
      </c>
      <c r="K1196" s="509"/>
      <c r="L1196" s="513"/>
      <c r="M1196" s="509">
        <f t="shared" si="107"/>
        <v>0</v>
      </c>
      <c r="N1196" s="513"/>
      <c r="O1196" s="509">
        <f t="shared" si="108"/>
        <v>0</v>
      </c>
      <c r="P1196" s="509">
        <f t="shared" si="109"/>
        <v>0</v>
      </c>
      <c r="Q1196" s="471"/>
    </row>
    <row r="1197" spans="3:17">
      <c r="C1197" s="505">
        <f>IF(D1133="","-",+C1196+1)</f>
        <v>2073</v>
      </c>
      <c r="D1197" s="469">
        <f t="shared" si="110"/>
        <v>0</v>
      </c>
      <c r="E1197" s="511">
        <f t="shared" si="111"/>
        <v>0</v>
      </c>
      <c r="F1197" s="511">
        <f t="shared" si="104"/>
        <v>0</v>
      </c>
      <c r="G1197" s="469">
        <f t="shared" si="105"/>
        <v>0</v>
      </c>
      <c r="H1197" s="506">
        <f>+J1134*G1197+E1197</f>
        <v>0</v>
      </c>
      <c r="I1197" s="512">
        <f>+J1135*G1197+E1197</f>
        <v>0</v>
      </c>
      <c r="J1197" s="509">
        <f t="shared" si="106"/>
        <v>0</v>
      </c>
      <c r="K1197" s="509"/>
      <c r="L1197" s="513"/>
      <c r="M1197" s="509">
        <f t="shared" si="107"/>
        <v>0</v>
      </c>
      <c r="N1197" s="513"/>
      <c r="O1197" s="509">
        <f t="shared" si="108"/>
        <v>0</v>
      </c>
      <c r="P1197" s="509">
        <f t="shared" si="109"/>
        <v>0</v>
      </c>
      <c r="Q1197" s="471"/>
    </row>
    <row r="1198" spans="3:17" ht="13.5" thickBot="1">
      <c r="C1198" s="515">
        <f>IF(D1133="","-",+C1197+1)</f>
        <v>2074</v>
      </c>
      <c r="D1198" s="516">
        <f t="shared" si="110"/>
        <v>0</v>
      </c>
      <c r="E1198" s="976">
        <f t="shared" si="111"/>
        <v>0</v>
      </c>
      <c r="F1198" s="517">
        <f t="shared" si="104"/>
        <v>0</v>
      </c>
      <c r="G1198" s="516">
        <f t="shared" si="105"/>
        <v>0</v>
      </c>
      <c r="H1198" s="518">
        <f>+J1134*G1198+E1198</f>
        <v>0</v>
      </c>
      <c r="I1198" s="518">
        <f>+J1135*G1198+E1198</f>
        <v>0</v>
      </c>
      <c r="J1198" s="519">
        <f t="shared" si="106"/>
        <v>0</v>
      </c>
      <c r="K1198" s="509"/>
      <c r="L1198" s="520"/>
      <c r="M1198" s="519">
        <f t="shared" si="107"/>
        <v>0</v>
      </c>
      <c r="N1198" s="520"/>
      <c r="O1198" s="519">
        <f t="shared" si="108"/>
        <v>0</v>
      </c>
      <c r="P1198" s="519">
        <f t="shared" si="109"/>
        <v>0</v>
      </c>
      <c r="Q1198" s="471"/>
    </row>
    <row r="1199" spans="3:17">
      <c r="C1199" s="469" t="s">
        <v>288</v>
      </c>
      <c r="D1199" s="467"/>
      <c r="E1199" s="467">
        <f>SUM(E1139:E1198)</f>
        <v>1214619.1800000002</v>
      </c>
      <c r="F1199" s="467"/>
      <c r="G1199" s="467"/>
      <c r="H1199" s="467">
        <f>SUM(H1139:H1198)</f>
        <v>5130885.1252493178</v>
      </c>
      <c r="I1199" s="467">
        <f>SUM(I1139:I1198)</f>
        <v>5130885.1252493178</v>
      </c>
      <c r="J1199" s="467">
        <f>SUM(J1139:J1198)</f>
        <v>0</v>
      </c>
      <c r="K1199" s="467"/>
      <c r="L1199" s="467"/>
      <c r="M1199" s="467"/>
      <c r="N1199" s="467"/>
      <c r="O1199" s="467"/>
      <c r="Q1199" s="467"/>
    </row>
    <row r="1200" spans="3:17">
      <c r="D1200" s="79"/>
      <c r="E1200" s="4"/>
      <c r="F1200" s="4"/>
      <c r="G1200" s="4"/>
      <c r="H1200" s="4"/>
      <c r="I1200" s="452"/>
      <c r="J1200" s="452"/>
      <c r="K1200" s="467"/>
      <c r="L1200" s="452"/>
      <c r="M1200" s="452"/>
      <c r="N1200" s="452"/>
      <c r="O1200" s="452"/>
      <c r="Q1200" s="467"/>
    </row>
    <row r="1201" spans="1:17">
      <c r="C1201" s="4" t="s">
        <v>595</v>
      </c>
      <c r="D1201" s="79"/>
      <c r="E1201" s="4"/>
      <c r="F1201" s="4"/>
      <c r="G1201" s="4"/>
      <c r="H1201" s="4"/>
      <c r="I1201" s="452"/>
      <c r="J1201" s="452"/>
      <c r="K1201" s="467"/>
      <c r="L1201" s="452"/>
      <c r="M1201" s="452"/>
      <c r="N1201" s="452"/>
      <c r="O1201" s="452"/>
      <c r="Q1201" s="467"/>
    </row>
    <row r="1202" spans="1:17">
      <c r="D1202" s="79"/>
      <c r="E1202" s="4"/>
      <c r="F1202" s="4"/>
      <c r="G1202" s="4"/>
      <c r="H1202" s="4"/>
      <c r="I1202" s="452"/>
      <c r="J1202" s="452"/>
      <c r="K1202" s="467"/>
      <c r="L1202" s="452"/>
      <c r="M1202" s="452"/>
      <c r="N1202" s="452"/>
      <c r="O1202" s="452"/>
      <c r="Q1202" s="467"/>
    </row>
    <row r="1203" spans="1:17">
      <c r="C1203" s="4" t="s">
        <v>596</v>
      </c>
      <c r="D1203" s="469"/>
      <c r="E1203" s="469"/>
      <c r="F1203" s="469"/>
      <c r="G1203" s="469"/>
      <c r="H1203" s="467"/>
      <c r="I1203" s="467"/>
      <c r="J1203" s="471"/>
      <c r="K1203" s="471"/>
      <c r="L1203" s="471"/>
      <c r="M1203" s="471"/>
      <c r="N1203" s="471"/>
      <c r="O1203" s="471"/>
      <c r="Q1203" s="471"/>
    </row>
    <row r="1204" spans="1:17">
      <c r="C1204" s="4" t="s">
        <v>476</v>
      </c>
      <c r="D1204" s="469"/>
      <c r="E1204" s="469"/>
      <c r="F1204" s="469"/>
      <c r="G1204" s="469"/>
      <c r="H1204" s="467"/>
      <c r="I1204" s="467"/>
      <c r="J1204" s="471"/>
      <c r="K1204" s="471"/>
      <c r="L1204" s="471"/>
      <c r="M1204" s="471"/>
      <c r="N1204" s="471"/>
      <c r="O1204" s="471"/>
      <c r="Q1204" s="471"/>
    </row>
    <row r="1205" spans="1:17">
      <c r="C1205" s="4" t="s">
        <v>289</v>
      </c>
      <c r="D1205" s="469"/>
      <c r="E1205" s="469"/>
      <c r="F1205" s="469"/>
      <c r="G1205" s="469"/>
      <c r="H1205" s="467"/>
      <c r="I1205" s="467"/>
      <c r="J1205" s="471"/>
      <c r="K1205" s="471"/>
      <c r="L1205" s="471"/>
      <c r="M1205" s="471"/>
      <c r="N1205" s="471"/>
      <c r="O1205" s="471"/>
      <c r="Q1205" s="471"/>
    </row>
    <row r="1206" spans="1:17" ht="20.25">
      <c r="A1206" s="411" t="s">
        <v>762</v>
      </c>
      <c r="B1206" s="4"/>
      <c r="C1206" s="4"/>
      <c r="D1206" s="79"/>
      <c r="E1206" s="4"/>
      <c r="F1206" s="81"/>
      <c r="G1206" s="81"/>
      <c r="H1206" s="4"/>
      <c r="I1206" s="452"/>
      <c r="L1206" s="11"/>
      <c r="M1206" s="11"/>
      <c r="N1206" s="11"/>
      <c r="O1206" s="11" t="str">
        <f>"Page "&amp;SUM(Q$3:Q1206)&amp;" of "</f>
        <v xml:space="preserve">Page 15 of </v>
      </c>
      <c r="P1206" s="412">
        <f>COUNT(Q$8:Q$58212)</f>
        <v>23</v>
      </c>
      <c r="Q1206" s="539">
        <v>1</v>
      </c>
    </row>
    <row r="1207" spans="1:17">
      <c r="B1207" s="4"/>
      <c r="C1207" s="4"/>
      <c r="D1207" s="79"/>
      <c r="E1207" s="4"/>
      <c r="F1207" s="4"/>
      <c r="G1207" s="4"/>
      <c r="H1207" s="4"/>
      <c r="I1207" s="452"/>
      <c r="J1207" s="4"/>
      <c r="K1207" s="4"/>
    </row>
    <row r="1208" spans="1:17" ht="18">
      <c r="B1208" s="413" t="s">
        <v>174</v>
      </c>
      <c r="C1208" s="472" t="s">
        <v>290</v>
      </c>
      <c r="D1208" s="79"/>
      <c r="E1208" s="4"/>
      <c r="F1208" s="4"/>
      <c r="G1208" s="4"/>
      <c r="H1208" s="4"/>
      <c r="I1208" s="452"/>
      <c r="J1208" s="452"/>
      <c r="K1208" s="467"/>
      <c r="L1208" s="452"/>
      <c r="M1208" s="452"/>
      <c r="N1208" s="452"/>
      <c r="O1208" s="452"/>
      <c r="Q1208" s="467"/>
    </row>
    <row r="1209" spans="1:17" ht="18.75">
      <c r="B1209" s="413"/>
      <c r="C1209" s="13"/>
      <c r="D1209" s="79"/>
      <c r="E1209" s="4"/>
      <c r="F1209" s="4"/>
      <c r="G1209" s="4"/>
      <c r="H1209" s="4"/>
      <c r="I1209" s="452"/>
      <c r="J1209" s="452"/>
      <c r="K1209" s="467"/>
      <c r="L1209" s="452"/>
      <c r="M1209" s="452"/>
      <c r="N1209" s="452"/>
      <c r="O1209" s="452"/>
      <c r="Q1209" s="467"/>
    </row>
    <row r="1210" spans="1:17" ht="18.75">
      <c r="B1210" s="413"/>
      <c r="C1210" s="13" t="s">
        <v>291</v>
      </c>
      <c r="D1210" s="79"/>
      <c r="E1210" s="4"/>
      <c r="F1210" s="4"/>
      <c r="G1210" s="4"/>
      <c r="H1210" s="4"/>
      <c r="I1210" s="452"/>
      <c r="J1210" s="452"/>
      <c r="K1210" s="467"/>
      <c r="L1210" s="452"/>
      <c r="M1210" s="452"/>
      <c r="N1210" s="452"/>
      <c r="O1210" s="452"/>
      <c r="Q1210" s="467"/>
    </row>
    <row r="1211" spans="1:17" ht="15.75" thickBot="1">
      <c r="C1211" s="247"/>
      <c r="D1211" s="79"/>
      <c r="E1211" s="4"/>
      <c r="F1211" s="4"/>
      <c r="G1211" s="4"/>
      <c r="H1211" s="4"/>
      <c r="I1211" s="452"/>
      <c r="J1211" s="452"/>
      <c r="K1211" s="467"/>
      <c r="L1211" s="452"/>
      <c r="M1211" s="452"/>
      <c r="N1211" s="452"/>
      <c r="O1211" s="452"/>
      <c r="Q1211" s="467"/>
    </row>
    <row r="1212" spans="1:17" ht="15.75">
      <c r="C1212" s="414" t="s">
        <v>292</v>
      </c>
      <c r="D1212" s="79"/>
      <c r="E1212" s="4"/>
      <c r="F1212" s="4"/>
      <c r="G1212" s="4"/>
      <c r="H1212" s="635"/>
      <c r="I1212" s="4" t="s">
        <v>271</v>
      </c>
      <c r="J1212" s="4"/>
      <c r="K1212" s="4"/>
      <c r="L1212" s="540">
        <f>+J1218</f>
        <v>2025</v>
      </c>
      <c r="M1212" s="524" t="s">
        <v>254</v>
      </c>
      <c r="N1212" s="524" t="s">
        <v>255</v>
      </c>
      <c r="O1212" s="525" t="s">
        <v>256</v>
      </c>
    </row>
    <row r="1213" spans="1:17" ht="15.75">
      <c r="C1213" s="414"/>
      <c r="D1213" s="79"/>
      <c r="E1213" s="4"/>
      <c r="F1213" s="4"/>
      <c r="H1213" s="4"/>
      <c r="I1213" s="476"/>
      <c r="J1213" s="476"/>
      <c r="K1213" s="477"/>
      <c r="L1213" s="541" t="s">
        <v>455</v>
      </c>
      <c r="M1213" s="542">
        <f>VLOOKUP(J1218,C1225:P1284,10)</f>
        <v>416036.90938624559</v>
      </c>
      <c r="N1213" s="542">
        <f>VLOOKUP(J1218,C1225:P1284,12)</f>
        <v>416036.90938624559</v>
      </c>
      <c r="O1213" s="543">
        <f>+N1213-M1213</f>
        <v>0</v>
      </c>
      <c r="Q1213" s="477"/>
    </row>
    <row r="1214" spans="1:17">
      <c r="C1214" s="479" t="s">
        <v>293</v>
      </c>
      <c r="D1214" s="1276" t="s">
        <v>937</v>
      </c>
      <c r="E1214" s="1276"/>
      <c r="F1214" s="1276"/>
      <c r="G1214" s="1276"/>
      <c r="H1214" s="1276"/>
      <c r="I1214" s="1276"/>
      <c r="J1214" s="452"/>
      <c r="K1214" s="467"/>
      <c r="L1214" s="541" t="s">
        <v>456</v>
      </c>
      <c r="M1214" s="544">
        <f>VLOOKUP(J1218,C1225:P1284,6)</f>
        <v>427833.54923064797</v>
      </c>
      <c r="N1214" s="544">
        <f>VLOOKUP(J1218,C1225:P1284,7)</f>
        <v>427833.54923064797</v>
      </c>
      <c r="O1214" s="545">
        <f>+N1214-M1214</f>
        <v>0</v>
      </c>
      <c r="Q1214" s="467"/>
    </row>
    <row r="1215" spans="1:17" ht="13.5" thickBot="1">
      <c r="C1215" s="481"/>
      <c r="D1215" s="1276" t="s">
        <v>114</v>
      </c>
      <c r="E1215" s="1276"/>
      <c r="F1215" s="1276"/>
      <c r="G1215" s="1276"/>
      <c r="H1215" s="1276"/>
      <c r="I1215" s="1276"/>
      <c r="J1215" s="452"/>
      <c r="K1215" s="467"/>
      <c r="L1215" s="492" t="s">
        <v>457</v>
      </c>
      <c r="M1215" s="546">
        <f>+M1214-M1213</f>
        <v>11796.63984440238</v>
      </c>
      <c r="N1215" s="546">
        <f>+N1214-N1213</f>
        <v>11796.63984440238</v>
      </c>
      <c r="O1215" s="547">
        <f>+O1214-O1213</f>
        <v>0</v>
      </c>
      <c r="Q1215" s="467"/>
    </row>
    <row r="1216" spans="1:17" ht="13.5" thickBot="1">
      <c r="C1216" s="481"/>
      <c r="D1216" s="4"/>
      <c r="E1216" s="483"/>
      <c r="F1216" s="483"/>
      <c r="G1216" s="483"/>
      <c r="H1216" s="483"/>
      <c r="I1216" s="483"/>
      <c r="J1216" s="483"/>
      <c r="K1216" s="483"/>
      <c r="L1216" s="483"/>
      <c r="M1216" s="483"/>
      <c r="N1216" s="483"/>
      <c r="O1216" s="483"/>
      <c r="Q1216" s="483"/>
    </row>
    <row r="1217" spans="1:17" ht="13.5" thickBot="1">
      <c r="C1217" s="484" t="s">
        <v>294</v>
      </c>
      <c r="D1217" s="485"/>
      <c r="E1217" s="485"/>
      <c r="F1217" s="485"/>
      <c r="G1217" s="485"/>
      <c r="H1217" s="485"/>
      <c r="I1217" s="485"/>
      <c r="J1217" s="485"/>
      <c r="Q1217"/>
    </row>
    <row r="1218" spans="1:17" ht="15">
      <c r="A1218" s="977"/>
      <c r="C1218" s="487" t="s">
        <v>272</v>
      </c>
      <c r="D1218" s="926">
        <v>3059125.59</v>
      </c>
      <c r="E1218" s="4" t="s">
        <v>273</v>
      </c>
      <c r="H1218" s="79"/>
      <c r="I1218" s="79"/>
      <c r="J1218" s="488">
        <f>$J$95</f>
        <v>2025</v>
      </c>
      <c r="K1218" s="135"/>
      <c r="L1218" s="1287" t="s">
        <v>274</v>
      </c>
      <c r="M1218" s="1287"/>
      <c r="N1218" s="1287"/>
      <c r="O1218" s="1287"/>
      <c r="Q1218" s="135"/>
    </row>
    <row r="1219" spans="1:17">
      <c r="A1219" s="977"/>
      <c r="C1219" s="487" t="s">
        <v>275</v>
      </c>
      <c r="D1219" s="636">
        <v>2015</v>
      </c>
      <c r="E1219" s="487" t="s">
        <v>276</v>
      </c>
      <c r="F1219" s="79"/>
      <c r="G1219" s="79"/>
      <c r="I1219"/>
      <c r="J1219" s="638">
        <v>0</v>
      </c>
      <c r="K1219" s="489"/>
      <c r="L1219" s="467" t="s">
        <v>475</v>
      </c>
      <c r="Q1219" s="489"/>
    </row>
    <row r="1220" spans="1:17">
      <c r="A1220" s="977"/>
      <c r="C1220" s="487" t="s">
        <v>277</v>
      </c>
      <c r="D1220" s="926">
        <v>12</v>
      </c>
      <c r="E1220" s="487" t="s">
        <v>278</v>
      </c>
      <c r="F1220" s="79"/>
      <c r="G1220" s="79"/>
      <c r="I1220"/>
      <c r="J1220" s="490">
        <f>$F$70</f>
        <v>0.14996626714737105</v>
      </c>
      <c r="K1220" s="81"/>
      <c r="L1220" s="4" t="str">
        <f>"          INPUT TRUE-UP ARR (WITH &amp; WITHOUT INCENTIVES) FROM EACH PRIOR YEAR"</f>
        <v xml:space="preserve">          INPUT TRUE-UP ARR (WITH &amp; WITHOUT INCENTIVES) FROM EACH PRIOR YEAR</v>
      </c>
      <c r="Q1220" s="81"/>
    </row>
    <row r="1221" spans="1:17">
      <c r="A1221" s="977"/>
      <c r="C1221" s="487" t="s">
        <v>279</v>
      </c>
      <c r="D1221" s="491">
        <f>H79</f>
        <v>42</v>
      </c>
      <c r="E1221" s="487" t="s">
        <v>280</v>
      </c>
      <c r="F1221" s="79"/>
      <c r="G1221" s="79"/>
      <c r="I1221"/>
      <c r="J1221" s="490">
        <f>IF(H1212="",J1220,$F$69)</f>
        <v>0.14996626714737105</v>
      </c>
      <c r="K1221" s="81"/>
      <c r="L1221" s="4" t="s">
        <v>362</v>
      </c>
      <c r="M1221" s="81"/>
      <c r="N1221" s="81"/>
      <c r="O1221" s="81"/>
      <c r="Q1221" s="81"/>
    </row>
    <row r="1222" spans="1:17" ht="13.5" thickBot="1">
      <c r="A1222" s="977"/>
      <c r="C1222" s="487" t="s">
        <v>281</v>
      </c>
      <c r="D1222" s="637" t="s">
        <v>923</v>
      </c>
      <c r="E1222" s="492" t="s">
        <v>282</v>
      </c>
      <c r="F1222" s="493"/>
      <c r="G1222" s="493"/>
      <c r="H1222" s="494"/>
      <c r="I1222" s="494"/>
      <c r="J1222" s="480">
        <f>IF(D1218=0,0,D1218/D1221)</f>
        <v>72836.323571428569</v>
      </c>
      <c r="K1222" s="467"/>
      <c r="L1222" s="467" t="s">
        <v>363</v>
      </c>
      <c r="M1222" s="467"/>
      <c r="N1222" s="467"/>
      <c r="O1222" s="467"/>
      <c r="Q1222" s="467"/>
    </row>
    <row r="1223" spans="1:17" ht="38.25">
      <c r="A1223" s="12"/>
      <c r="B1223" s="12"/>
      <c r="C1223" s="495" t="s">
        <v>272</v>
      </c>
      <c r="D1223" s="496" t="s">
        <v>283</v>
      </c>
      <c r="E1223" s="497" t="s">
        <v>284</v>
      </c>
      <c r="F1223" s="496" t="s">
        <v>285</v>
      </c>
      <c r="G1223" s="496" t="s">
        <v>458</v>
      </c>
      <c r="H1223" s="497" t="s">
        <v>356</v>
      </c>
      <c r="I1223" s="498" t="s">
        <v>356</v>
      </c>
      <c r="J1223" s="495" t="s">
        <v>295</v>
      </c>
      <c r="K1223" s="499"/>
      <c r="L1223" s="497" t="s">
        <v>358</v>
      </c>
      <c r="M1223" s="497" t="s">
        <v>364</v>
      </c>
      <c r="N1223" s="497" t="s">
        <v>358</v>
      </c>
      <c r="O1223" s="497" t="s">
        <v>366</v>
      </c>
      <c r="P1223" s="497" t="s">
        <v>286</v>
      </c>
      <c r="Q1223" s="128"/>
    </row>
    <row r="1224" spans="1:17" ht="13.5" thickBot="1">
      <c r="C1224" s="500" t="s">
        <v>177</v>
      </c>
      <c r="D1224" s="501" t="s">
        <v>178</v>
      </c>
      <c r="E1224" s="500" t="s">
        <v>37</v>
      </c>
      <c r="F1224" s="501" t="s">
        <v>178</v>
      </c>
      <c r="G1224" s="501" t="s">
        <v>178</v>
      </c>
      <c r="H1224" s="502" t="s">
        <v>298</v>
      </c>
      <c r="I1224" s="503" t="s">
        <v>300</v>
      </c>
      <c r="J1224" s="500" t="s">
        <v>389</v>
      </c>
      <c r="K1224" s="504"/>
      <c r="L1224" s="502" t="s">
        <v>287</v>
      </c>
      <c r="M1224" s="502" t="s">
        <v>287</v>
      </c>
      <c r="N1224" s="502" t="s">
        <v>467</v>
      </c>
      <c r="O1224" s="502" t="s">
        <v>467</v>
      </c>
      <c r="P1224" s="502" t="s">
        <v>467</v>
      </c>
      <c r="Q1224" s="135"/>
    </row>
    <row r="1225" spans="1:17">
      <c r="C1225" s="505">
        <f>IF(D1219= "","-",D1219)</f>
        <v>2015</v>
      </c>
      <c r="D1225" s="469">
        <f>+D1218</f>
        <v>3059125.59</v>
      </c>
      <c r="E1225" s="506">
        <f>+J1222/12*(12-D1220)</f>
        <v>0</v>
      </c>
      <c r="F1225" s="548">
        <f t="shared" ref="F1225:F1284" si="112">+D1225-E1225</f>
        <v>3059125.59</v>
      </c>
      <c r="G1225" s="469">
        <f t="shared" ref="G1225:G1284" si="113">+(D1225+F1225)/2</f>
        <v>3059125.59</v>
      </c>
      <c r="H1225" s="507">
        <f>+J1220*G1225+E1225</f>
        <v>458765.64546729904</v>
      </c>
      <c r="I1225" s="508">
        <f>+J1221*G1225+E1225</f>
        <v>458765.64546729904</v>
      </c>
      <c r="J1225" s="509">
        <f t="shared" ref="J1225:J1284" si="114">+I1225-H1225</f>
        <v>0</v>
      </c>
      <c r="K1225" s="509"/>
      <c r="L1225" s="513">
        <v>559098</v>
      </c>
      <c r="M1225" s="549">
        <f t="shared" ref="M1225:M1284" si="115">IF(L1225&lt;&gt;0,+H1225-L1225,0)</f>
        <v>-100332.35453270096</v>
      </c>
      <c r="N1225" s="513">
        <v>559098</v>
      </c>
      <c r="O1225" s="549">
        <f t="shared" ref="O1225:O1284" si="116">IF(N1225&lt;&gt;0,+I1225-N1225,0)</f>
        <v>-100332.35453270096</v>
      </c>
      <c r="P1225" s="549">
        <f t="shared" ref="P1225:P1284" si="117">+O1225-M1225</f>
        <v>0</v>
      </c>
      <c r="Q1225" s="471"/>
    </row>
    <row r="1226" spans="1:17">
      <c r="C1226" s="505">
        <f>IF(D1219="","-",+C1225+1)</f>
        <v>2016</v>
      </c>
      <c r="D1226" s="469">
        <f t="shared" ref="D1226:D1284" si="118">F1225</f>
        <v>3059125.59</v>
      </c>
      <c r="E1226" s="511">
        <f>IF(D1226&gt;$J$1222,$J$1222,D1226)</f>
        <v>72836.323571428569</v>
      </c>
      <c r="F1226" s="511">
        <f t="shared" si="112"/>
        <v>2986289.2664285712</v>
      </c>
      <c r="G1226" s="469">
        <f t="shared" si="113"/>
        <v>3022707.4282142855</v>
      </c>
      <c r="H1226" s="506">
        <f>+J1220*G1226+E1226</f>
        <v>526140.47325935506</v>
      </c>
      <c r="I1226" s="512">
        <f>+J1221*G1226+E1226</f>
        <v>526140.47325935506</v>
      </c>
      <c r="J1226" s="509">
        <f t="shared" si="114"/>
        <v>0</v>
      </c>
      <c r="K1226" s="509"/>
      <c r="L1226" s="513">
        <v>620362</v>
      </c>
      <c r="M1226" s="509">
        <f t="shared" si="115"/>
        <v>-94221.526740644942</v>
      </c>
      <c r="N1226" s="513">
        <v>620362</v>
      </c>
      <c r="O1226" s="509">
        <f t="shared" si="116"/>
        <v>-94221.526740644942</v>
      </c>
      <c r="P1226" s="509">
        <f t="shared" si="117"/>
        <v>0</v>
      </c>
      <c r="Q1226" s="471"/>
    </row>
    <row r="1227" spans="1:17">
      <c r="C1227" s="505">
        <f>IF(D1219="","-",+C1226+1)</f>
        <v>2017</v>
      </c>
      <c r="D1227" s="469">
        <f t="shared" si="118"/>
        <v>2986289.2664285712</v>
      </c>
      <c r="E1227" s="511">
        <f t="shared" ref="E1227:E1284" si="119">IF(D1227&gt;$J$1222,$J$1222,D1227)</f>
        <v>72836.323571428569</v>
      </c>
      <c r="F1227" s="511">
        <f t="shared" si="112"/>
        <v>2913452.9428571425</v>
      </c>
      <c r="G1227" s="469">
        <f t="shared" si="113"/>
        <v>2949871.1046428569</v>
      </c>
      <c r="H1227" s="506">
        <f>+J1220*G1227+E1227</f>
        <v>515217.48170060979</v>
      </c>
      <c r="I1227" s="512">
        <f>+J1221*G1227+E1227</f>
        <v>515217.48170060979</v>
      </c>
      <c r="J1227" s="509">
        <f t="shared" si="114"/>
        <v>0</v>
      </c>
      <c r="K1227" s="509"/>
      <c r="L1227" s="513">
        <v>646844</v>
      </c>
      <c r="M1227" s="509">
        <f t="shared" si="115"/>
        <v>-131626.51829939021</v>
      </c>
      <c r="N1227" s="513">
        <v>646844</v>
      </c>
      <c r="O1227" s="509">
        <f t="shared" si="116"/>
        <v>-131626.51829939021</v>
      </c>
      <c r="P1227" s="509">
        <f t="shared" si="117"/>
        <v>0</v>
      </c>
      <c r="Q1227" s="471"/>
    </row>
    <row r="1228" spans="1:17">
      <c r="C1228" s="505">
        <f>IF(D1219="","-",+C1227+1)</f>
        <v>2018</v>
      </c>
      <c r="D1228" s="469">
        <f t="shared" si="118"/>
        <v>2913452.9428571425</v>
      </c>
      <c r="E1228" s="511">
        <f t="shared" si="119"/>
        <v>72836.323571428569</v>
      </c>
      <c r="F1228" s="511">
        <f t="shared" si="112"/>
        <v>2840616.6192857139</v>
      </c>
      <c r="G1228" s="469">
        <f t="shared" si="113"/>
        <v>2877034.7810714282</v>
      </c>
      <c r="H1228" s="506">
        <f>+J1220*G1228+E1228</f>
        <v>504294.49014186452</v>
      </c>
      <c r="I1228" s="512">
        <f>+J1221*G1228+E1228</f>
        <v>504294.49014186452</v>
      </c>
      <c r="J1228" s="509">
        <f t="shared" si="114"/>
        <v>0</v>
      </c>
      <c r="K1228" s="509"/>
      <c r="L1228" s="513">
        <v>506029</v>
      </c>
      <c r="M1228" s="509">
        <f t="shared" si="115"/>
        <v>-1734.5098581354832</v>
      </c>
      <c r="N1228" s="513">
        <v>506029</v>
      </c>
      <c r="O1228" s="509">
        <f t="shared" si="116"/>
        <v>-1734.5098581354832</v>
      </c>
      <c r="P1228" s="509">
        <f t="shared" si="117"/>
        <v>0</v>
      </c>
      <c r="Q1228" s="471"/>
    </row>
    <row r="1229" spans="1:17">
      <c r="C1229" s="505">
        <f>IF(D1219="","-",+C1228+1)</f>
        <v>2019</v>
      </c>
      <c r="D1229" s="941">
        <f t="shared" si="118"/>
        <v>2840616.6192857139</v>
      </c>
      <c r="E1229" s="511">
        <f t="shared" si="119"/>
        <v>72836.323571428569</v>
      </c>
      <c r="F1229" s="511">
        <f t="shared" si="112"/>
        <v>2767780.2957142852</v>
      </c>
      <c r="G1229" s="469">
        <f t="shared" si="113"/>
        <v>2804198.4574999996</v>
      </c>
      <c r="H1229" s="506">
        <f>+J1220*G1229+E1229</f>
        <v>493371.49858311936</v>
      </c>
      <c r="I1229" s="512">
        <f>+J1221*G1229+E1229</f>
        <v>493371.49858311936</v>
      </c>
      <c r="J1229" s="509">
        <f t="shared" si="114"/>
        <v>0</v>
      </c>
      <c r="K1229" s="509"/>
      <c r="L1229" s="513">
        <v>492430</v>
      </c>
      <c r="M1229" s="509">
        <f t="shared" si="115"/>
        <v>941.49858311936259</v>
      </c>
      <c r="N1229" s="513">
        <v>492430</v>
      </c>
      <c r="O1229" s="509">
        <f t="shared" si="116"/>
        <v>941.49858311936259</v>
      </c>
      <c r="P1229" s="509">
        <f t="shared" si="117"/>
        <v>0</v>
      </c>
      <c r="Q1229" s="471"/>
    </row>
    <row r="1230" spans="1:17">
      <c r="C1230" s="505">
        <f>IF(D1219="","-",+C1229+1)</f>
        <v>2020</v>
      </c>
      <c r="D1230" s="941">
        <f t="shared" si="118"/>
        <v>2767780.2957142852</v>
      </c>
      <c r="E1230" s="511">
        <f t="shared" si="119"/>
        <v>72836.323571428569</v>
      </c>
      <c r="F1230" s="511">
        <f t="shared" si="112"/>
        <v>2694943.9721428566</v>
      </c>
      <c r="G1230" s="469">
        <f t="shared" si="113"/>
        <v>2731362.1339285709</v>
      </c>
      <c r="H1230" s="506">
        <f>+J1220*G1230+E1230</f>
        <v>482448.50702437409</v>
      </c>
      <c r="I1230" s="512">
        <f>+J1221*G1230+E1230</f>
        <v>482448.50702437409</v>
      </c>
      <c r="J1230" s="509">
        <f t="shared" si="114"/>
        <v>0</v>
      </c>
      <c r="K1230" s="509"/>
      <c r="L1230" s="513">
        <v>474754.37121105765</v>
      </c>
      <c r="M1230" s="509">
        <f t="shared" si="115"/>
        <v>7694.1358133164467</v>
      </c>
      <c r="N1230" s="513">
        <v>474754.37121105765</v>
      </c>
      <c r="O1230" s="509">
        <f t="shared" si="116"/>
        <v>7694.1358133164467</v>
      </c>
      <c r="P1230" s="509">
        <f t="shared" si="117"/>
        <v>0</v>
      </c>
      <c r="Q1230" s="471"/>
    </row>
    <row r="1231" spans="1:17">
      <c r="C1231" s="505">
        <f>IF(D1219="","-",+C1230+1)</f>
        <v>2021</v>
      </c>
      <c r="D1231" s="941">
        <f t="shared" si="118"/>
        <v>2694943.9721428566</v>
      </c>
      <c r="E1231" s="511">
        <f t="shared" si="119"/>
        <v>72836.323571428569</v>
      </c>
      <c r="F1231" s="511">
        <f t="shared" si="112"/>
        <v>2622107.6485714279</v>
      </c>
      <c r="G1231" s="469">
        <f t="shared" si="113"/>
        <v>2658525.8103571422</v>
      </c>
      <c r="H1231" s="506">
        <f>+J1220*G1231+E1231</f>
        <v>471525.51546562882</v>
      </c>
      <c r="I1231" s="512">
        <f>+J1221*G1231+E1231</f>
        <v>471525.51546562882</v>
      </c>
      <c r="J1231" s="509">
        <f t="shared" si="114"/>
        <v>0</v>
      </c>
      <c r="K1231" s="509"/>
      <c r="L1231" s="513">
        <v>453236.20731722959</v>
      </c>
      <c r="M1231" s="509">
        <f t="shared" si="115"/>
        <v>18289.308148399228</v>
      </c>
      <c r="N1231" s="513">
        <v>453236.20731722959</v>
      </c>
      <c r="O1231" s="509">
        <f t="shared" si="116"/>
        <v>18289.308148399228</v>
      </c>
      <c r="P1231" s="509">
        <f t="shared" si="117"/>
        <v>0</v>
      </c>
      <c r="Q1231" s="471"/>
    </row>
    <row r="1232" spans="1:17">
      <c r="C1232" s="505">
        <f>IF(D1219="","-",+C1231+1)</f>
        <v>2022</v>
      </c>
      <c r="D1232" s="469">
        <f t="shared" si="118"/>
        <v>2622107.6485714279</v>
      </c>
      <c r="E1232" s="511">
        <f t="shared" si="119"/>
        <v>72836.323571428569</v>
      </c>
      <c r="F1232" s="511">
        <f t="shared" si="112"/>
        <v>2549271.3249999993</v>
      </c>
      <c r="G1232" s="469">
        <f t="shared" si="113"/>
        <v>2585689.4867857136</v>
      </c>
      <c r="H1232" s="506">
        <f>+J1220*G1232+E1232</f>
        <v>460602.52390688367</v>
      </c>
      <c r="I1232" s="512">
        <f>+J1221*G1232+E1232</f>
        <v>460602.52390688367</v>
      </c>
      <c r="J1232" s="509">
        <f t="shared" si="114"/>
        <v>0</v>
      </c>
      <c r="K1232" s="509"/>
      <c r="L1232" s="513">
        <v>445117.98879262328</v>
      </c>
      <c r="M1232" s="509">
        <f t="shared" si="115"/>
        <v>15484.53511426039</v>
      </c>
      <c r="N1232" s="513">
        <v>445117.98879262328</v>
      </c>
      <c r="O1232" s="509">
        <f t="shared" si="116"/>
        <v>15484.53511426039</v>
      </c>
      <c r="P1232" s="509">
        <f t="shared" si="117"/>
        <v>0</v>
      </c>
      <c r="Q1232" s="471"/>
    </row>
    <row r="1233" spans="3:17">
      <c r="C1233" s="505">
        <f>IF(D1219="","-",+C1232+1)</f>
        <v>2023</v>
      </c>
      <c r="D1233" s="469">
        <f t="shared" si="118"/>
        <v>2549271.3249999993</v>
      </c>
      <c r="E1233" s="511">
        <f t="shared" si="119"/>
        <v>72836.323571428569</v>
      </c>
      <c r="F1233" s="511">
        <f t="shared" si="112"/>
        <v>2476435.0014285706</v>
      </c>
      <c r="G1233" s="469">
        <f t="shared" si="113"/>
        <v>2512853.1632142849</v>
      </c>
      <c r="H1233" s="506">
        <f>+J1220*G1233+E1233</f>
        <v>449679.5323481384</v>
      </c>
      <c r="I1233" s="512">
        <f>+J1221*G1233+E1233</f>
        <v>449679.5323481384</v>
      </c>
      <c r="J1233" s="509">
        <f t="shared" si="114"/>
        <v>0</v>
      </c>
      <c r="K1233" s="509"/>
      <c r="L1233" s="513">
        <v>452248.66753214673</v>
      </c>
      <c r="M1233" s="509">
        <f t="shared" si="115"/>
        <v>-2569.1351840083371</v>
      </c>
      <c r="N1233" s="513">
        <v>452248.66753214673</v>
      </c>
      <c r="O1233" s="509">
        <f t="shared" si="116"/>
        <v>-2569.1351840083371</v>
      </c>
      <c r="P1233" s="509">
        <f t="shared" si="117"/>
        <v>0</v>
      </c>
      <c r="Q1233" s="471"/>
    </row>
    <row r="1234" spans="3:17">
      <c r="C1234" s="963">
        <f>IF(D1219="","-",+C1233+1)</f>
        <v>2024</v>
      </c>
      <c r="D1234" s="469">
        <f t="shared" si="118"/>
        <v>2476435.0014285706</v>
      </c>
      <c r="E1234" s="511">
        <f t="shared" si="119"/>
        <v>72836.323571428569</v>
      </c>
      <c r="F1234" s="511">
        <f t="shared" si="112"/>
        <v>2403598.6778571419</v>
      </c>
      <c r="G1234" s="469">
        <f t="shared" si="113"/>
        <v>2440016.8396428563</v>
      </c>
      <c r="H1234" s="506">
        <f>+J1220*G1234+E1234</f>
        <v>438756.54078939313</v>
      </c>
      <c r="I1234" s="512">
        <f>+J1221*G1234+E1234</f>
        <v>438756.54078939313</v>
      </c>
      <c r="J1234" s="509">
        <f t="shared" si="114"/>
        <v>0</v>
      </c>
      <c r="K1234" s="509"/>
      <c r="L1234" s="513">
        <v>439452.45686289709</v>
      </c>
      <c r="M1234" s="509">
        <f t="shared" si="115"/>
        <v>-695.91607350396225</v>
      </c>
      <c r="N1234" s="513">
        <v>439452.45686289709</v>
      </c>
      <c r="O1234" s="509">
        <f t="shared" si="116"/>
        <v>-695.91607350396225</v>
      </c>
      <c r="P1234" s="509">
        <f t="shared" si="117"/>
        <v>0</v>
      </c>
      <c r="Q1234" s="471"/>
    </row>
    <row r="1235" spans="3:17">
      <c r="C1235" s="505">
        <f>IF(D1219="","-",+C1234+1)</f>
        <v>2025</v>
      </c>
      <c r="D1235" s="469">
        <f t="shared" si="118"/>
        <v>2403598.6778571419</v>
      </c>
      <c r="E1235" s="511">
        <f t="shared" si="119"/>
        <v>72836.323571428569</v>
      </c>
      <c r="F1235" s="511">
        <f t="shared" si="112"/>
        <v>2330762.3542857133</v>
      </c>
      <c r="G1235" s="469">
        <f t="shared" si="113"/>
        <v>2367180.5160714276</v>
      </c>
      <c r="H1235" s="506">
        <f>+J1220*G1235+E1235</f>
        <v>427833.54923064797</v>
      </c>
      <c r="I1235" s="512">
        <f>+J1221*G1235+E1235</f>
        <v>427833.54923064797</v>
      </c>
      <c r="J1235" s="509">
        <f t="shared" si="114"/>
        <v>0</v>
      </c>
      <c r="K1235" s="509"/>
      <c r="L1235" s="513">
        <v>416036.90938624559</v>
      </c>
      <c r="M1235" s="509">
        <f t="shared" si="115"/>
        <v>11796.63984440238</v>
      </c>
      <c r="N1235" s="513">
        <v>416036.90938624559</v>
      </c>
      <c r="O1235" s="509">
        <f t="shared" si="116"/>
        <v>11796.63984440238</v>
      </c>
      <c r="P1235" s="509">
        <f t="shared" si="117"/>
        <v>0</v>
      </c>
      <c r="Q1235" s="471"/>
    </row>
    <row r="1236" spans="3:17">
      <c r="C1236" s="505">
        <f>IF(D1219="","-",+C1235+1)</f>
        <v>2026</v>
      </c>
      <c r="D1236" s="469">
        <f t="shared" si="118"/>
        <v>2330762.3542857133</v>
      </c>
      <c r="E1236" s="511">
        <f t="shared" si="119"/>
        <v>72836.323571428569</v>
      </c>
      <c r="F1236" s="511">
        <f t="shared" si="112"/>
        <v>2257926.0307142846</v>
      </c>
      <c r="G1236" s="469">
        <f t="shared" si="113"/>
        <v>2294344.192499999</v>
      </c>
      <c r="H1236" s="506">
        <f>+J1220*G1236+E1236</f>
        <v>416910.5576719027</v>
      </c>
      <c r="I1236" s="512">
        <f>+J1221*G1236+E1236</f>
        <v>416910.5576719027</v>
      </c>
      <c r="J1236" s="509">
        <f t="shared" si="114"/>
        <v>0</v>
      </c>
      <c r="K1236" s="509"/>
      <c r="L1236" s="513"/>
      <c r="M1236" s="509">
        <f t="shared" si="115"/>
        <v>0</v>
      </c>
      <c r="N1236" s="513"/>
      <c r="O1236" s="509">
        <f t="shared" si="116"/>
        <v>0</v>
      </c>
      <c r="P1236" s="509">
        <f t="shared" si="117"/>
        <v>0</v>
      </c>
      <c r="Q1236" s="471"/>
    </row>
    <row r="1237" spans="3:17">
      <c r="C1237" s="505">
        <f>IF(D1219="","-",+C1236+1)</f>
        <v>2027</v>
      </c>
      <c r="D1237" s="469">
        <f t="shared" si="118"/>
        <v>2257926.0307142846</v>
      </c>
      <c r="E1237" s="511">
        <f t="shared" si="119"/>
        <v>72836.323571428569</v>
      </c>
      <c r="F1237" s="511">
        <f t="shared" si="112"/>
        <v>2185089.707142856</v>
      </c>
      <c r="G1237" s="469">
        <f t="shared" si="113"/>
        <v>2221507.8689285703</v>
      </c>
      <c r="H1237" s="506">
        <f>+J1220*G1237+E1237</f>
        <v>405987.56611315743</v>
      </c>
      <c r="I1237" s="512">
        <f>+J1221*G1237+E1237</f>
        <v>405987.56611315743</v>
      </c>
      <c r="J1237" s="509">
        <f t="shared" si="114"/>
        <v>0</v>
      </c>
      <c r="K1237" s="509"/>
      <c r="L1237" s="513"/>
      <c r="M1237" s="509">
        <f t="shared" si="115"/>
        <v>0</v>
      </c>
      <c r="N1237" s="513"/>
      <c r="O1237" s="509">
        <f t="shared" si="116"/>
        <v>0</v>
      </c>
      <c r="P1237" s="509">
        <f t="shared" si="117"/>
        <v>0</v>
      </c>
      <c r="Q1237" s="471"/>
    </row>
    <row r="1238" spans="3:17">
      <c r="C1238" s="505">
        <f>IF(D1219="","-",+C1237+1)</f>
        <v>2028</v>
      </c>
      <c r="D1238" s="469">
        <f t="shared" si="118"/>
        <v>2185089.707142856</v>
      </c>
      <c r="E1238" s="511">
        <f t="shared" si="119"/>
        <v>72836.323571428569</v>
      </c>
      <c r="F1238" s="511">
        <f t="shared" si="112"/>
        <v>2112253.3835714273</v>
      </c>
      <c r="G1238" s="469">
        <f t="shared" si="113"/>
        <v>2148671.5453571416</v>
      </c>
      <c r="H1238" s="506">
        <f>+J1220*G1238+E1238</f>
        <v>395064.57455441228</v>
      </c>
      <c r="I1238" s="512">
        <f>+J1221*G1238+E1238</f>
        <v>395064.57455441228</v>
      </c>
      <c r="J1238" s="509">
        <f t="shared" si="114"/>
        <v>0</v>
      </c>
      <c r="K1238" s="509"/>
      <c r="L1238" s="513"/>
      <c r="M1238" s="509">
        <f t="shared" si="115"/>
        <v>0</v>
      </c>
      <c r="N1238" s="513"/>
      <c r="O1238" s="509">
        <f t="shared" si="116"/>
        <v>0</v>
      </c>
      <c r="P1238" s="509">
        <f t="shared" si="117"/>
        <v>0</v>
      </c>
      <c r="Q1238" s="471"/>
    </row>
    <row r="1239" spans="3:17">
      <c r="C1239" s="505">
        <f>IF(D1219="","-",+C1238+1)</f>
        <v>2029</v>
      </c>
      <c r="D1239" s="469">
        <f t="shared" si="118"/>
        <v>2112253.3835714273</v>
      </c>
      <c r="E1239" s="511">
        <f t="shared" si="119"/>
        <v>72836.323571428569</v>
      </c>
      <c r="F1239" s="511">
        <f t="shared" si="112"/>
        <v>2039417.0599999987</v>
      </c>
      <c r="G1239" s="469">
        <f t="shared" si="113"/>
        <v>2075835.221785713</v>
      </c>
      <c r="H1239" s="506">
        <f>+J1220*G1239+E1239</f>
        <v>384141.58299566701</v>
      </c>
      <c r="I1239" s="512">
        <f>+J1221*G1239+E1239</f>
        <v>384141.58299566701</v>
      </c>
      <c r="J1239" s="509">
        <f t="shared" si="114"/>
        <v>0</v>
      </c>
      <c r="K1239" s="509"/>
      <c r="L1239" s="513"/>
      <c r="M1239" s="509">
        <f t="shared" si="115"/>
        <v>0</v>
      </c>
      <c r="N1239" s="513"/>
      <c r="O1239" s="509">
        <f t="shared" si="116"/>
        <v>0</v>
      </c>
      <c r="P1239" s="509">
        <f t="shared" si="117"/>
        <v>0</v>
      </c>
      <c r="Q1239" s="471"/>
    </row>
    <row r="1240" spans="3:17">
      <c r="C1240" s="505">
        <f>IF(D1219="","-",+C1239+1)</f>
        <v>2030</v>
      </c>
      <c r="D1240" s="469">
        <f t="shared" si="118"/>
        <v>2039417.0599999987</v>
      </c>
      <c r="E1240" s="511">
        <f t="shared" si="119"/>
        <v>72836.323571428569</v>
      </c>
      <c r="F1240" s="511">
        <f t="shared" si="112"/>
        <v>1966580.73642857</v>
      </c>
      <c r="G1240" s="469">
        <f t="shared" si="113"/>
        <v>2002998.8982142843</v>
      </c>
      <c r="H1240" s="506">
        <f>+J1220*G1240+E1240</f>
        <v>373218.59143692185</v>
      </c>
      <c r="I1240" s="512">
        <f>+J1221*G1240+E1240</f>
        <v>373218.59143692185</v>
      </c>
      <c r="J1240" s="509">
        <f t="shared" si="114"/>
        <v>0</v>
      </c>
      <c r="K1240" s="509"/>
      <c r="L1240" s="513"/>
      <c r="M1240" s="509">
        <f t="shared" si="115"/>
        <v>0</v>
      </c>
      <c r="N1240" s="513"/>
      <c r="O1240" s="509">
        <f t="shared" si="116"/>
        <v>0</v>
      </c>
      <c r="P1240" s="509">
        <f t="shared" si="117"/>
        <v>0</v>
      </c>
      <c r="Q1240" s="471"/>
    </row>
    <row r="1241" spans="3:17">
      <c r="C1241" s="505">
        <f>IF(D1219="","-",+C1240+1)</f>
        <v>2031</v>
      </c>
      <c r="D1241" s="469">
        <f t="shared" si="118"/>
        <v>1966580.73642857</v>
      </c>
      <c r="E1241" s="511">
        <f t="shared" si="119"/>
        <v>72836.323571428569</v>
      </c>
      <c r="F1241" s="511">
        <f t="shared" si="112"/>
        <v>1893744.4128571413</v>
      </c>
      <c r="G1241" s="469">
        <f t="shared" si="113"/>
        <v>1930162.5746428557</v>
      </c>
      <c r="H1241" s="506">
        <f>+J1220*G1241+E1241</f>
        <v>362295.59987817658</v>
      </c>
      <c r="I1241" s="512">
        <f>+J1221*G1241+E1241</f>
        <v>362295.59987817658</v>
      </c>
      <c r="J1241" s="509">
        <f t="shared" si="114"/>
        <v>0</v>
      </c>
      <c r="K1241" s="509"/>
      <c r="L1241" s="513"/>
      <c r="M1241" s="509">
        <f t="shared" si="115"/>
        <v>0</v>
      </c>
      <c r="N1241" s="513"/>
      <c r="O1241" s="509">
        <f t="shared" si="116"/>
        <v>0</v>
      </c>
      <c r="P1241" s="509">
        <f t="shared" si="117"/>
        <v>0</v>
      </c>
      <c r="Q1241" s="471"/>
    </row>
    <row r="1242" spans="3:17">
      <c r="C1242" s="505">
        <f>IF(D1219="","-",+C1241+1)</f>
        <v>2032</v>
      </c>
      <c r="D1242" s="469">
        <f t="shared" si="118"/>
        <v>1893744.4128571413</v>
      </c>
      <c r="E1242" s="511">
        <f t="shared" si="119"/>
        <v>72836.323571428569</v>
      </c>
      <c r="F1242" s="511">
        <f t="shared" si="112"/>
        <v>1820908.0892857127</v>
      </c>
      <c r="G1242" s="469">
        <f t="shared" si="113"/>
        <v>1857326.251071427</v>
      </c>
      <c r="H1242" s="506">
        <f>+J1220*G1242+E1242</f>
        <v>351372.60831943131</v>
      </c>
      <c r="I1242" s="512">
        <f>+J1221*G1242+E1242</f>
        <v>351372.60831943131</v>
      </c>
      <c r="J1242" s="509">
        <f t="shared" si="114"/>
        <v>0</v>
      </c>
      <c r="K1242" s="509"/>
      <c r="L1242" s="513"/>
      <c r="M1242" s="509">
        <f t="shared" si="115"/>
        <v>0</v>
      </c>
      <c r="N1242" s="513"/>
      <c r="O1242" s="509">
        <f t="shared" si="116"/>
        <v>0</v>
      </c>
      <c r="P1242" s="509">
        <f t="shared" si="117"/>
        <v>0</v>
      </c>
      <c r="Q1242" s="471"/>
    </row>
    <row r="1243" spans="3:17">
      <c r="C1243" s="505">
        <f>IF(D1219="","-",+C1242+1)</f>
        <v>2033</v>
      </c>
      <c r="D1243" s="469">
        <f t="shared" si="118"/>
        <v>1820908.0892857127</v>
      </c>
      <c r="E1243" s="511">
        <f t="shared" si="119"/>
        <v>72836.323571428569</v>
      </c>
      <c r="F1243" s="511">
        <f t="shared" si="112"/>
        <v>1748071.765714284</v>
      </c>
      <c r="G1243" s="469">
        <f t="shared" si="113"/>
        <v>1784489.9274999984</v>
      </c>
      <c r="H1243" s="506">
        <f>+J1220*G1243+E1243</f>
        <v>340449.61676068616</v>
      </c>
      <c r="I1243" s="512">
        <f>+J1221*G1243+E1243</f>
        <v>340449.61676068616</v>
      </c>
      <c r="J1243" s="509">
        <f t="shared" si="114"/>
        <v>0</v>
      </c>
      <c r="K1243" s="509"/>
      <c r="L1243" s="513"/>
      <c r="M1243" s="509">
        <f t="shared" si="115"/>
        <v>0</v>
      </c>
      <c r="N1243" s="513"/>
      <c r="O1243" s="509">
        <f t="shared" si="116"/>
        <v>0</v>
      </c>
      <c r="P1243" s="509">
        <f t="shared" si="117"/>
        <v>0</v>
      </c>
      <c r="Q1243" s="471"/>
    </row>
    <row r="1244" spans="3:17">
      <c r="C1244" s="505">
        <f>IF(D1219="","-",+C1243+1)</f>
        <v>2034</v>
      </c>
      <c r="D1244" s="469">
        <f t="shared" si="118"/>
        <v>1748071.765714284</v>
      </c>
      <c r="E1244" s="511">
        <f t="shared" si="119"/>
        <v>72836.323571428569</v>
      </c>
      <c r="F1244" s="511">
        <f t="shared" si="112"/>
        <v>1675235.4421428554</v>
      </c>
      <c r="G1244" s="469">
        <f t="shared" si="113"/>
        <v>1711653.6039285697</v>
      </c>
      <c r="H1244" s="506">
        <f>+J1220*G1244+E1244</f>
        <v>329526.62520194089</v>
      </c>
      <c r="I1244" s="512">
        <f>+J1221*G1244+E1244</f>
        <v>329526.62520194089</v>
      </c>
      <c r="J1244" s="509">
        <f t="shared" si="114"/>
        <v>0</v>
      </c>
      <c r="K1244" s="509"/>
      <c r="L1244" s="513"/>
      <c r="M1244" s="509">
        <f t="shared" si="115"/>
        <v>0</v>
      </c>
      <c r="N1244" s="513"/>
      <c r="O1244" s="509">
        <f t="shared" si="116"/>
        <v>0</v>
      </c>
      <c r="P1244" s="509">
        <f t="shared" si="117"/>
        <v>0</v>
      </c>
      <c r="Q1244" s="471"/>
    </row>
    <row r="1245" spans="3:17">
      <c r="C1245" s="505">
        <f>IF(D1219="","-",+C1244+1)</f>
        <v>2035</v>
      </c>
      <c r="D1245" s="469">
        <f t="shared" si="118"/>
        <v>1675235.4421428554</v>
      </c>
      <c r="E1245" s="511">
        <f t="shared" si="119"/>
        <v>72836.323571428569</v>
      </c>
      <c r="F1245" s="511">
        <f t="shared" si="112"/>
        <v>1602399.1185714267</v>
      </c>
      <c r="G1245" s="469">
        <f t="shared" si="113"/>
        <v>1638817.280357141</v>
      </c>
      <c r="H1245" s="506">
        <f>+J1220*G1245+E1245</f>
        <v>318603.63364319562</v>
      </c>
      <c r="I1245" s="512">
        <f>+J1221*G1245+E1245</f>
        <v>318603.63364319562</v>
      </c>
      <c r="J1245" s="509">
        <f t="shared" si="114"/>
        <v>0</v>
      </c>
      <c r="K1245" s="509"/>
      <c r="L1245" s="513"/>
      <c r="M1245" s="509">
        <f t="shared" si="115"/>
        <v>0</v>
      </c>
      <c r="N1245" s="513"/>
      <c r="O1245" s="509">
        <f t="shared" si="116"/>
        <v>0</v>
      </c>
      <c r="P1245" s="509">
        <f t="shared" si="117"/>
        <v>0</v>
      </c>
      <c r="Q1245" s="471"/>
    </row>
    <row r="1246" spans="3:17">
      <c r="C1246" s="505">
        <f>IF(D1219="","-",+C1245+1)</f>
        <v>2036</v>
      </c>
      <c r="D1246" s="469">
        <f t="shared" si="118"/>
        <v>1602399.1185714267</v>
      </c>
      <c r="E1246" s="511">
        <f t="shared" si="119"/>
        <v>72836.323571428569</v>
      </c>
      <c r="F1246" s="511">
        <f t="shared" si="112"/>
        <v>1529562.7949999981</v>
      </c>
      <c r="G1246" s="469">
        <f t="shared" si="113"/>
        <v>1565980.9567857124</v>
      </c>
      <c r="H1246" s="506">
        <f>+J1220*G1246+E1246</f>
        <v>307680.64208445046</v>
      </c>
      <c r="I1246" s="512">
        <f>+J1221*G1246+E1246</f>
        <v>307680.64208445046</v>
      </c>
      <c r="J1246" s="509">
        <f t="shared" si="114"/>
        <v>0</v>
      </c>
      <c r="K1246" s="509"/>
      <c r="L1246" s="513"/>
      <c r="M1246" s="509">
        <f t="shared" si="115"/>
        <v>0</v>
      </c>
      <c r="N1246" s="513"/>
      <c r="O1246" s="509">
        <f t="shared" si="116"/>
        <v>0</v>
      </c>
      <c r="P1246" s="509">
        <f t="shared" si="117"/>
        <v>0</v>
      </c>
      <c r="Q1246" s="471"/>
    </row>
    <row r="1247" spans="3:17">
      <c r="C1247" s="505">
        <f>IF(D1219="","-",+C1246+1)</f>
        <v>2037</v>
      </c>
      <c r="D1247" s="469">
        <f t="shared" si="118"/>
        <v>1529562.7949999981</v>
      </c>
      <c r="E1247" s="511">
        <f t="shared" si="119"/>
        <v>72836.323571428569</v>
      </c>
      <c r="F1247" s="511">
        <f t="shared" si="112"/>
        <v>1456726.4714285694</v>
      </c>
      <c r="G1247" s="469">
        <f t="shared" si="113"/>
        <v>1493144.6332142837</v>
      </c>
      <c r="H1247" s="506">
        <f>+J1220*G1247+E1247</f>
        <v>296757.65052570519</v>
      </c>
      <c r="I1247" s="512">
        <f>+J1221*G1247+E1247</f>
        <v>296757.65052570519</v>
      </c>
      <c r="J1247" s="509">
        <f t="shared" si="114"/>
        <v>0</v>
      </c>
      <c r="K1247" s="509"/>
      <c r="L1247" s="513"/>
      <c r="M1247" s="509">
        <f t="shared" si="115"/>
        <v>0</v>
      </c>
      <c r="N1247" s="513"/>
      <c r="O1247" s="509">
        <f t="shared" si="116"/>
        <v>0</v>
      </c>
      <c r="P1247" s="509">
        <f t="shared" si="117"/>
        <v>0</v>
      </c>
      <c r="Q1247" s="471"/>
    </row>
    <row r="1248" spans="3:17">
      <c r="C1248" s="505">
        <f>IF(D1219="","-",+C1247+1)</f>
        <v>2038</v>
      </c>
      <c r="D1248" s="469">
        <f t="shared" si="118"/>
        <v>1456726.4714285694</v>
      </c>
      <c r="E1248" s="511">
        <f t="shared" si="119"/>
        <v>72836.323571428569</v>
      </c>
      <c r="F1248" s="511">
        <f t="shared" si="112"/>
        <v>1383890.1478571407</v>
      </c>
      <c r="G1248" s="469">
        <f t="shared" si="113"/>
        <v>1420308.3096428551</v>
      </c>
      <c r="H1248" s="506">
        <f>+J1220*G1248+E1248</f>
        <v>285834.65896695998</v>
      </c>
      <c r="I1248" s="512">
        <f>+J1221*G1248+E1248</f>
        <v>285834.65896695998</v>
      </c>
      <c r="J1248" s="509">
        <f t="shared" si="114"/>
        <v>0</v>
      </c>
      <c r="K1248" s="509"/>
      <c r="L1248" s="513"/>
      <c r="M1248" s="509">
        <f t="shared" si="115"/>
        <v>0</v>
      </c>
      <c r="N1248" s="513"/>
      <c r="O1248" s="509">
        <f t="shared" si="116"/>
        <v>0</v>
      </c>
      <c r="P1248" s="509">
        <f t="shared" si="117"/>
        <v>0</v>
      </c>
      <c r="Q1248" s="471"/>
    </row>
    <row r="1249" spans="3:17">
      <c r="C1249" s="505">
        <f>IF(D1219="","-",+C1248+1)</f>
        <v>2039</v>
      </c>
      <c r="D1249" s="469">
        <f t="shared" si="118"/>
        <v>1383890.1478571407</v>
      </c>
      <c r="E1249" s="511">
        <f t="shared" si="119"/>
        <v>72836.323571428569</v>
      </c>
      <c r="F1249" s="511">
        <f t="shared" si="112"/>
        <v>1311053.8242857121</v>
      </c>
      <c r="G1249" s="469">
        <f t="shared" si="113"/>
        <v>1347471.9860714264</v>
      </c>
      <c r="H1249" s="506">
        <f>+J1220*G1249+E1249</f>
        <v>274911.66740821477</v>
      </c>
      <c r="I1249" s="512">
        <f>+J1221*G1249+E1249</f>
        <v>274911.66740821477</v>
      </c>
      <c r="J1249" s="509">
        <f t="shared" si="114"/>
        <v>0</v>
      </c>
      <c r="K1249" s="509"/>
      <c r="L1249" s="513"/>
      <c r="M1249" s="509">
        <f t="shared" si="115"/>
        <v>0</v>
      </c>
      <c r="N1249" s="513"/>
      <c r="O1249" s="509">
        <f t="shared" si="116"/>
        <v>0</v>
      </c>
      <c r="P1249" s="509">
        <f t="shared" si="117"/>
        <v>0</v>
      </c>
      <c r="Q1249" s="471"/>
    </row>
    <row r="1250" spans="3:17">
      <c r="C1250" s="505">
        <f>IF(D1219="","-",+C1249+1)</f>
        <v>2040</v>
      </c>
      <c r="D1250" s="469">
        <f t="shared" si="118"/>
        <v>1311053.8242857121</v>
      </c>
      <c r="E1250" s="511">
        <f t="shared" si="119"/>
        <v>72836.323571428569</v>
      </c>
      <c r="F1250" s="511">
        <f t="shared" si="112"/>
        <v>1238217.5007142834</v>
      </c>
      <c r="G1250" s="469">
        <f t="shared" si="113"/>
        <v>1274635.6624999978</v>
      </c>
      <c r="H1250" s="506">
        <f>+J1220*G1250+E1250</f>
        <v>263988.6758494695</v>
      </c>
      <c r="I1250" s="512">
        <f>+J1221*G1250+E1250</f>
        <v>263988.6758494695</v>
      </c>
      <c r="J1250" s="509">
        <f t="shared" si="114"/>
        <v>0</v>
      </c>
      <c r="K1250" s="509"/>
      <c r="L1250" s="513"/>
      <c r="M1250" s="509">
        <f t="shared" si="115"/>
        <v>0</v>
      </c>
      <c r="N1250" s="513"/>
      <c r="O1250" s="509">
        <f t="shared" si="116"/>
        <v>0</v>
      </c>
      <c r="P1250" s="509">
        <f t="shared" si="117"/>
        <v>0</v>
      </c>
      <c r="Q1250" s="471"/>
    </row>
    <row r="1251" spans="3:17">
      <c r="C1251" s="505">
        <f>IF(D1219="","-",+C1250+1)</f>
        <v>2041</v>
      </c>
      <c r="D1251" s="469">
        <f t="shared" si="118"/>
        <v>1238217.5007142834</v>
      </c>
      <c r="E1251" s="511">
        <f t="shared" si="119"/>
        <v>72836.323571428569</v>
      </c>
      <c r="F1251" s="511">
        <f t="shared" si="112"/>
        <v>1165381.1771428548</v>
      </c>
      <c r="G1251" s="469">
        <f t="shared" si="113"/>
        <v>1201799.3389285691</v>
      </c>
      <c r="H1251" s="506">
        <f>+J1220*G1251+E1251</f>
        <v>253065.68429072428</v>
      </c>
      <c r="I1251" s="512">
        <f>+J1221*G1251+E1251</f>
        <v>253065.68429072428</v>
      </c>
      <c r="J1251" s="509">
        <f t="shared" si="114"/>
        <v>0</v>
      </c>
      <c r="K1251" s="509"/>
      <c r="L1251" s="513"/>
      <c r="M1251" s="509">
        <f t="shared" si="115"/>
        <v>0</v>
      </c>
      <c r="N1251" s="513"/>
      <c r="O1251" s="509">
        <f t="shared" si="116"/>
        <v>0</v>
      </c>
      <c r="P1251" s="509">
        <f t="shared" si="117"/>
        <v>0</v>
      </c>
      <c r="Q1251" s="471"/>
    </row>
    <row r="1252" spans="3:17">
      <c r="C1252" s="505">
        <f>IF(D1219="","-",+C1251+1)</f>
        <v>2042</v>
      </c>
      <c r="D1252" s="469">
        <f t="shared" si="118"/>
        <v>1165381.1771428548</v>
      </c>
      <c r="E1252" s="511">
        <f t="shared" si="119"/>
        <v>72836.323571428569</v>
      </c>
      <c r="F1252" s="511">
        <f t="shared" si="112"/>
        <v>1092544.8535714261</v>
      </c>
      <c r="G1252" s="469">
        <f t="shared" si="113"/>
        <v>1128963.0153571405</v>
      </c>
      <c r="H1252" s="506">
        <f>+J1220*G1252+E1252</f>
        <v>242142.69273197904</v>
      </c>
      <c r="I1252" s="512">
        <f>+J1221*G1252+E1252</f>
        <v>242142.69273197904</v>
      </c>
      <c r="J1252" s="509">
        <f t="shared" si="114"/>
        <v>0</v>
      </c>
      <c r="K1252" s="509"/>
      <c r="L1252" s="513"/>
      <c r="M1252" s="509">
        <f t="shared" si="115"/>
        <v>0</v>
      </c>
      <c r="N1252" s="513"/>
      <c r="O1252" s="509">
        <f t="shared" si="116"/>
        <v>0</v>
      </c>
      <c r="P1252" s="509">
        <f t="shared" si="117"/>
        <v>0</v>
      </c>
      <c r="Q1252" s="471"/>
    </row>
    <row r="1253" spans="3:17">
      <c r="C1253" s="505">
        <f>IF(D1219="","-",+C1252+1)</f>
        <v>2043</v>
      </c>
      <c r="D1253" s="469">
        <f t="shared" si="118"/>
        <v>1092544.8535714261</v>
      </c>
      <c r="E1253" s="511">
        <f t="shared" si="119"/>
        <v>72836.323571428569</v>
      </c>
      <c r="F1253" s="511">
        <f t="shared" si="112"/>
        <v>1019708.5299999976</v>
      </c>
      <c r="G1253" s="469">
        <f t="shared" si="113"/>
        <v>1056126.6917857118</v>
      </c>
      <c r="H1253" s="506">
        <f>+J1220*G1253+E1253</f>
        <v>231219.70117323383</v>
      </c>
      <c r="I1253" s="512">
        <f>+J1221*G1253+E1253</f>
        <v>231219.70117323383</v>
      </c>
      <c r="J1253" s="509">
        <f t="shared" si="114"/>
        <v>0</v>
      </c>
      <c r="K1253" s="509"/>
      <c r="L1253" s="513"/>
      <c r="M1253" s="509">
        <f t="shared" si="115"/>
        <v>0</v>
      </c>
      <c r="N1253" s="513"/>
      <c r="O1253" s="509">
        <f t="shared" si="116"/>
        <v>0</v>
      </c>
      <c r="P1253" s="509">
        <f t="shared" si="117"/>
        <v>0</v>
      </c>
      <c r="Q1253" s="471"/>
    </row>
    <row r="1254" spans="3:17">
      <c r="C1254" s="505">
        <f>IF(D1219="","-",+C1253+1)</f>
        <v>2044</v>
      </c>
      <c r="D1254" s="469">
        <f t="shared" si="118"/>
        <v>1019708.5299999976</v>
      </c>
      <c r="E1254" s="511">
        <f t="shared" si="119"/>
        <v>72836.323571428569</v>
      </c>
      <c r="F1254" s="511">
        <f t="shared" si="112"/>
        <v>946872.20642856904</v>
      </c>
      <c r="G1254" s="469">
        <f t="shared" si="113"/>
        <v>983290.36821428337</v>
      </c>
      <c r="H1254" s="506">
        <f>+J1220*G1254+E1254</f>
        <v>220296.70961448865</v>
      </c>
      <c r="I1254" s="512">
        <f>+J1221*G1254+E1254</f>
        <v>220296.70961448865</v>
      </c>
      <c r="J1254" s="509">
        <f t="shared" si="114"/>
        <v>0</v>
      </c>
      <c r="K1254" s="509"/>
      <c r="L1254" s="513"/>
      <c r="M1254" s="509">
        <f t="shared" si="115"/>
        <v>0</v>
      </c>
      <c r="N1254" s="513"/>
      <c r="O1254" s="509">
        <f t="shared" si="116"/>
        <v>0</v>
      </c>
      <c r="P1254" s="509">
        <f t="shared" si="117"/>
        <v>0</v>
      </c>
      <c r="Q1254" s="471"/>
    </row>
    <row r="1255" spans="3:17">
      <c r="C1255" s="505">
        <f>IF(D1219="","-",+C1254+1)</f>
        <v>2045</v>
      </c>
      <c r="D1255" s="469">
        <f t="shared" si="118"/>
        <v>946872.20642856904</v>
      </c>
      <c r="E1255" s="511">
        <f t="shared" si="119"/>
        <v>72836.323571428569</v>
      </c>
      <c r="F1255" s="511">
        <f t="shared" si="112"/>
        <v>874035.8828571405</v>
      </c>
      <c r="G1255" s="469">
        <f t="shared" si="113"/>
        <v>910454.04464285471</v>
      </c>
      <c r="H1255" s="506">
        <f>+J1220*G1255+E1255</f>
        <v>209373.7180557434</v>
      </c>
      <c r="I1255" s="512">
        <f>+J1221*G1255+E1255</f>
        <v>209373.7180557434</v>
      </c>
      <c r="J1255" s="509">
        <f t="shared" si="114"/>
        <v>0</v>
      </c>
      <c r="K1255" s="509"/>
      <c r="L1255" s="513"/>
      <c r="M1255" s="509">
        <f t="shared" si="115"/>
        <v>0</v>
      </c>
      <c r="N1255" s="513"/>
      <c r="O1255" s="509">
        <f t="shared" si="116"/>
        <v>0</v>
      </c>
      <c r="P1255" s="509">
        <f t="shared" si="117"/>
        <v>0</v>
      </c>
      <c r="Q1255" s="471"/>
    </row>
    <row r="1256" spans="3:17">
      <c r="C1256" s="505">
        <f>IF(D1219="","-",+C1255+1)</f>
        <v>2046</v>
      </c>
      <c r="D1256" s="469">
        <f t="shared" si="118"/>
        <v>874035.8828571405</v>
      </c>
      <c r="E1256" s="511">
        <f t="shared" si="119"/>
        <v>72836.323571428569</v>
      </c>
      <c r="F1256" s="511">
        <f t="shared" si="112"/>
        <v>801199.55928571196</v>
      </c>
      <c r="G1256" s="469">
        <f t="shared" si="113"/>
        <v>837617.72107142629</v>
      </c>
      <c r="H1256" s="506">
        <f>+J1220*G1256+E1256</f>
        <v>198450.72649699822</v>
      </c>
      <c r="I1256" s="512">
        <f>+J1221*G1256+E1256</f>
        <v>198450.72649699822</v>
      </c>
      <c r="J1256" s="509">
        <f t="shared" si="114"/>
        <v>0</v>
      </c>
      <c r="K1256" s="509"/>
      <c r="L1256" s="513"/>
      <c r="M1256" s="509">
        <f t="shared" si="115"/>
        <v>0</v>
      </c>
      <c r="N1256" s="513"/>
      <c r="O1256" s="509">
        <f t="shared" si="116"/>
        <v>0</v>
      </c>
      <c r="P1256" s="509">
        <f t="shared" si="117"/>
        <v>0</v>
      </c>
      <c r="Q1256" s="471"/>
    </row>
    <row r="1257" spans="3:17">
      <c r="C1257" s="505">
        <f>IF(D1219="","-",+C1256+1)</f>
        <v>2047</v>
      </c>
      <c r="D1257" s="469">
        <f t="shared" si="118"/>
        <v>801199.55928571196</v>
      </c>
      <c r="E1257" s="511">
        <f t="shared" si="119"/>
        <v>72836.323571428569</v>
      </c>
      <c r="F1257" s="511">
        <f t="shared" si="112"/>
        <v>728363.23571428342</v>
      </c>
      <c r="G1257" s="469">
        <f t="shared" si="113"/>
        <v>764781.39749999763</v>
      </c>
      <c r="H1257" s="506">
        <f>+J1220*G1257+E1257</f>
        <v>187527.73493825298</v>
      </c>
      <c r="I1257" s="512">
        <f>+J1221*G1257+E1257</f>
        <v>187527.73493825298</v>
      </c>
      <c r="J1257" s="509">
        <f t="shared" si="114"/>
        <v>0</v>
      </c>
      <c r="K1257" s="509"/>
      <c r="L1257" s="513"/>
      <c r="M1257" s="509">
        <f t="shared" si="115"/>
        <v>0</v>
      </c>
      <c r="N1257" s="513"/>
      <c r="O1257" s="509">
        <f t="shared" si="116"/>
        <v>0</v>
      </c>
      <c r="P1257" s="509">
        <f t="shared" si="117"/>
        <v>0</v>
      </c>
      <c r="Q1257" s="471"/>
    </row>
    <row r="1258" spans="3:17">
      <c r="C1258" s="505">
        <f>IF(D1219="","-",+C1257+1)</f>
        <v>2048</v>
      </c>
      <c r="D1258" s="469">
        <f t="shared" si="118"/>
        <v>728363.23571428342</v>
      </c>
      <c r="E1258" s="511">
        <f t="shared" si="119"/>
        <v>72836.323571428569</v>
      </c>
      <c r="F1258" s="511">
        <f t="shared" si="112"/>
        <v>655526.91214285488</v>
      </c>
      <c r="G1258" s="469">
        <f t="shared" si="113"/>
        <v>691945.07392856921</v>
      </c>
      <c r="H1258" s="506">
        <f>+J1220*G1258+E1258</f>
        <v>176604.7433795078</v>
      </c>
      <c r="I1258" s="512">
        <f>+J1221*G1258+E1258</f>
        <v>176604.7433795078</v>
      </c>
      <c r="J1258" s="509">
        <f t="shared" si="114"/>
        <v>0</v>
      </c>
      <c r="K1258" s="509"/>
      <c r="L1258" s="513"/>
      <c r="M1258" s="509">
        <f t="shared" si="115"/>
        <v>0</v>
      </c>
      <c r="N1258" s="513"/>
      <c r="O1258" s="509">
        <f t="shared" si="116"/>
        <v>0</v>
      </c>
      <c r="P1258" s="509">
        <f t="shared" si="117"/>
        <v>0</v>
      </c>
      <c r="Q1258" s="471"/>
    </row>
    <row r="1259" spans="3:17">
      <c r="C1259" s="505">
        <f>IF(D1219="","-",+C1258+1)</f>
        <v>2049</v>
      </c>
      <c r="D1259" s="469">
        <f t="shared" si="118"/>
        <v>655526.91214285488</v>
      </c>
      <c r="E1259" s="511">
        <f t="shared" si="119"/>
        <v>72836.323571428569</v>
      </c>
      <c r="F1259" s="511">
        <f t="shared" si="112"/>
        <v>582690.58857142634</v>
      </c>
      <c r="G1259" s="469">
        <f t="shared" si="113"/>
        <v>619108.75035714055</v>
      </c>
      <c r="H1259" s="506">
        <f>+J1220*G1259+E1259</f>
        <v>165681.75182076255</v>
      </c>
      <c r="I1259" s="512">
        <f>+J1221*G1259+E1259</f>
        <v>165681.75182076255</v>
      </c>
      <c r="J1259" s="509">
        <f t="shared" si="114"/>
        <v>0</v>
      </c>
      <c r="K1259" s="509"/>
      <c r="L1259" s="513"/>
      <c r="M1259" s="509">
        <f t="shared" si="115"/>
        <v>0</v>
      </c>
      <c r="N1259" s="513"/>
      <c r="O1259" s="509">
        <f t="shared" si="116"/>
        <v>0</v>
      </c>
      <c r="P1259" s="509">
        <f t="shared" si="117"/>
        <v>0</v>
      </c>
      <c r="Q1259" s="471"/>
    </row>
    <row r="1260" spans="3:17">
      <c r="C1260" s="505">
        <f>IF(D1219="","-",+C1259+1)</f>
        <v>2050</v>
      </c>
      <c r="D1260" s="469">
        <f t="shared" si="118"/>
        <v>582690.58857142634</v>
      </c>
      <c r="E1260" s="511">
        <f t="shared" si="119"/>
        <v>72836.323571428569</v>
      </c>
      <c r="F1260" s="511">
        <f t="shared" si="112"/>
        <v>509854.2649999978</v>
      </c>
      <c r="G1260" s="469">
        <f t="shared" si="113"/>
        <v>546272.42678571213</v>
      </c>
      <c r="H1260" s="506">
        <f>+J1220*G1260+E1260</f>
        <v>154758.76026201737</v>
      </c>
      <c r="I1260" s="512">
        <f>+J1221*G1260+E1260</f>
        <v>154758.76026201737</v>
      </c>
      <c r="J1260" s="509">
        <f t="shared" si="114"/>
        <v>0</v>
      </c>
      <c r="K1260" s="509"/>
      <c r="L1260" s="513"/>
      <c r="M1260" s="509">
        <f t="shared" si="115"/>
        <v>0</v>
      </c>
      <c r="N1260" s="513"/>
      <c r="O1260" s="509">
        <f t="shared" si="116"/>
        <v>0</v>
      </c>
      <c r="P1260" s="509">
        <f t="shared" si="117"/>
        <v>0</v>
      </c>
      <c r="Q1260" s="471"/>
    </row>
    <row r="1261" spans="3:17">
      <c r="C1261" s="505">
        <f>IF(D1219="","-",+C1260+1)</f>
        <v>2051</v>
      </c>
      <c r="D1261" s="469">
        <f t="shared" si="118"/>
        <v>509854.2649999978</v>
      </c>
      <c r="E1261" s="511">
        <f t="shared" si="119"/>
        <v>72836.323571428569</v>
      </c>
      <c r="F1261" s="511">
        <f t="shared" si="112"/>
        <v>437017.94142856926</v>
      </c>
      <c r="G1261" s="469">
        <f t="shared" si="113"/>
        <v>473436.10321428353</v>
      </c>
      <c r="H1261" s="506">
        <f>+J1220*G1261+E1261</f>
        <v>143835.76870327216</v>
      </c>
      <c r="I1261" s="512">
        <f>+J1221*G1261+E1261</f>
        <v>143835.76870327216</v>
      </c>
      <c r="J1261" s="509">
        <f t="shared" si="114"/>
        <v>0</v>
      </c>
      <c r="K1261" s="509"/>
      <c r="L1261" s="513"/>
      <c r="M1261" s="509">
        <f t="shared" si="115"/>
        <v>0</v>
      </c>
      <c r="N1261" s="513"/>
      <c r="O1261" s="509">
        <f t="shared" si="116"/>
        <v>0</v>
      </c>
      <c r="P1261" s="509">
        <f t="shared" si="117"/>
        <v>0</v>
      </c>
      <c r="Q1261" s="471"/>
    </row>
    <row r="1262" spans="3:17">
      <c r="C1262" s="505">
        <f>IF(D1219="","-",+C1261+1)</f>
        <v>2052</v>
      </c>
      <c r="D1262" s="469">
        <f t="shared" si="118"/>
        <v>437017.94142856926</v>
      </c>
      <c r="E1262" s="511">
        <f t="shared" si="119"/>
        <v>72836.323571428569</v>
      </c>
      <c r="F1262" s="511">
        <f t="shared" si="112"/>
        <v>364181.61785714072</v>
      </c>
      <c r="G1262" s="469">
        <f t="shared" si="113"/>
        <v>400599.77964285499</v>
      </c>
      <c r="H1262" s="506">
        <f>+J1220*G1262+E1262</f>
        <v>132912.77714452695</v>
      </c>
      <c r="I1262" s="512">
        <f>+J1221*G1262+E1262</f>
        <v>132912.77714452695</v>
      </c>
      <c r="J1262" s="509">
        <f t="shared" si="114"/>
        <v>0</v>
      </c>
      <c r="K1262" s="509"/>
      <c r="L1262" s="513"/>
      <c r="M1262" s="509">
        <f t="shared" si="115"/>
        <v>0</v>
      </c>
      <c r="N1262" s="513"/>
      <c r="O1262" s="509">
        <f t="shared" si="116"/>
        <v>0</v>
      </c>
      <c r="P1262" s="509">
        <f t="shared" si="117"/>
        <v>0</v>
      </c>
      <c r="Q1262" s="471"/>
    </row>
    <row r="1263" spans="3:17">
      <c r="C1263" s="505">
        <f>IF(D1219="","-",+C1262+1)</f>
        <v>2053</v>
      </c>
      <c r="D1263" s="469">
        <f t="shared" si="118"/>
        <v>364181.61785714072</v>
      </c>
      <c r="E1263" s="511">
        <f t="shared" si="119"/>
        <v>72836.323571428569</v>
      </c>
      <c r="F1263" s="511">
        <f t="shared" si="112"/>
        <v>291345.29428571218</v>
      </c>
      <c r="G1263" s="469">
        <f t="shared" si="113"/>
        <v>327763.45607142645</v>
      </c>
      <c r="H1263" s="506">
        <f>+J1220*G1263+E1263</f>
        <v>121989.78558578172</v>
      </c>
      <c r="I1263" s="512">
        <f>+J1221*G1263+E1263</f>
        <v>121989.78558578172</v>
      </c>
      <c r="J1263" s="509">
        <f t="shared" si="114"/>
        <v>0</v>
      </c>
      <c r="K1263" s="509"/>
      <c r="L1263" s="513"/>
      <c r="M1263" s="509">
        <f t="shared" si="115"/>
        <v>0</v>
      </c>
      <c r="N1263" s="513"/>
      <c r="O1263" s="509">
        <f t="shared" si="116"/>
        <v>0</v>
      </c>
      <c r="P1263" s="509">
        <f t="shared" si="117"/>
        <v>0</v>
      </c>
      <c r="Q1263" s="471"/>
    </row>
    <row r="1264" spans="3:17">
      <c r="C1264" s="505">
        <f>IF(D1219="","-",+C1263+1)</f>
        <v>2054</v>
      </c>
      <c r="D1264" s="469">
        <f t="shared" si="118"/>
        <v>291345.29428571218</v>
      </c>
      <c r="E1264" s="511">
        <f t="shared" si="119"/>
        <v>72836.323571428569</v>
      </c>
      <c r="F1264" s="511">
        <f t="shared" si="112"/>
        <v>218508.97071428361</v>
      </c>
      <c r="G1264" s="469">
        <f t="shared" si="113"/>
        <v>254927.13249999791</v>
      </c>
      <c r="H1264" s="506">
        <f>+J1220*G1264+E1264</f>
        <v>111066.79402703652</v>
      </c>
      <c r="I1264" s="512">
        <f>+J1221*G1264+E1264</f>
        <v>111066.79402703652</v>
      </c>
      <c r="J1264" s="509">
        <f t="shared" si="114"/>
        <v>0</v>
      </c>
      <c r="K1264" s="509"/>
      <c r="L1264" s="513"/>
      <c r="M1264" s="509">
        <f t="shared" si="115"/>
        <v>0</v>
      </c>
      <c r="N1264" s="513"/>
      <c r="O1264" s="509">
        <f t="shared" si="116"/>
        <v>0</v>
      </c>
      <c r="P1264" s="509">
        <f t="shared" si="117"/>
        <v>0</v>
      </c>
      <c r="Q1264" s="471"/>
    </row>
    <row r="1265" spans="3:17">
      <c r="C1265" s="505">
        <f>IF(D1219="","-",+C1264+1)</f>
        <v>2055</v>
      </c>
      <c r="D1265" s="469">
        <f t="shared" si="118"/>
        <v>218508.97071428361</v>
      </c>
      <c r="E1265" s="511">
        <f t="shared" si="119"/>
        <v>72836.323571428569</v>
      </c>
      <c r="F1265" s="511">
        <f t="shared" si="112"/>
        <v>145672.64714285504</v>
      </c>
      <c r="G1265" s="469">
        <f t="shared" si="113"/>
        <v>182090.80892856931</v>
      </c>
      <c r="H1265" s="506">
        <f>+J1220*G1265+E1265</f>
        <v>100143.80246829129</v>
      </c>
      <c r="I1265" s="512">
        <f>+J1221*G1265+E1265</f>
        <v>100143.80246829129</v>
      </c>
      <c r="J1265" s="509">
        <f t="shared" si="114"/>
        <v>0</v>
      </c>
      <c r="K1265" s="509"/>
      <c r="L1265" s="513"/>
      <c r="M1265" s="509">
        <f t="shared" si="115"/>
        <v>0</v>
      </c>
      <c r="N1265" s="513"/>
      <c r="O1265" s="509">
        <f t="shared" si="116"/>
        <v>0</v>
      </c>
      <c r="P1265" s="509">
        <f t="shared" si="117"/>
        <v>0</v>
      </c>
      <c r="Q1265" s="471"/>
    </row>
    <row r="1266" spans="3:17">
      <c r="C1266" s="505">
        <f>IF(D1219="","-",+C1265+1)</f>
        <v>2056</v>
      </c>
      <c r="D1266" s="469">
        <f t="shared" si="118"/>
        <v>145672.64714285504</v>
      </c>
      <c r="E1266" s="511">
        <f t="shared" si="119"/>
        <v>72836.323571428569</v>
      </c>
      <c r="F1266" s="511">
        <f t="shared" si="112"/>
        <v>72836.323571426474</v>
      </c>
      <c r="G1266" s="469">
        <f t="shared" si="113"/>
        <v>109254.48535714076</v>
      </c>
      <c r="H1266" s="506">
        <f>+J1220*G1266+E1266</f>
        <v>89220.810909546082</v>
      </c>
      <c r="I1266" s="512">
        <f>+J1221*G1266+E1266</f>
        <v>89220.810909546082</v>
      </c>
      <c r="J1266" s="509">
        <f t="shared" si="114"/>
        <v>0</v>
      </c>
      <c r="K1266" s="509"/>
      <c r="L1266" s="513"/>
      <c r="M1266" s="509">
        <f t="shared" si="115"/>
        <v>0</v>
      </c>
      <c r="N1266" s="513"/>
      <c r="O1266" s="509">
        <f t="shared" si="116"/>
        <v>0</v>
      </c>
      <c r="P1266" s="509">
        <f t="shared" si="117"/>
        <v>0</v>
      </c>
      <c r="Q1266" s="471"/>
    </row>
    <row r="1267" spans="3:17">
      <c r="C1267" s="505">
        <f>IF(D1219="","-",+C1266+1)</f>
        <v>2057</v>
      </c>
      <c r="D1267" s="469">
        <f t="shared" si="118"/>
        <v>72836.323571426474</v>
      </c>
      <c r="E1267" s="511">
        <f t="shared" si="119"/>
        <v>72836.323571426474</v>
      </c>
      <c r="F1267" s="511">
        <f t="shared" si="112"/>
        <v>0</v>
      </c>
      <c r="G1267" s="469">
        <f t="shared" si="113"/>
        <v>36418.161785713237</v>
      </c>
      <c r="H1267" s="506">
        <f>+J1220*G1267+E1267</f>
        <v>78297.81935079892</v>
      </c>
      <c r="I1267" s="512">
        <f>+J1221*G1267+E1267</f>
        <v>78297.81935079892</v>
      </c>
      <c r="J1267" s="509">
        <f t="shared" si="114"/>
        <v>0</v>
      </c>
      <c r="K1267" s="509"/>
      <c r="L1267" s="513"/>
      <c r="M1267" s="509">
        <f t="shared" si="115"/>
        <v>0</v>
      </c>
      <c r="N1267" s="513"/>
      <c r="O1267" s="509">
        <f t="shared" si="116"/>
        <v>0</v>
      </c>
      <c r="P1267" s="509">
        <f t="shared" si="117"/>
        <v>0</v>
      </c>
      <c r="Q1267" s="471"/>
    </row>
    <row r="1268" spans="3:17">
      <c r="C1268" s="505">
        <f>IF(D1219="","-",+C1267+1)</f>
        <v>2058</v>
      </c>
      <c r="D1268" s="469">
        <f t="shared" si="118"/>
        <v>0</v>
      </c>
      <c r="E1268" s="511">
        <f t="shared" si="119"/>
        <v>0</v>
      </c>
      <c r="F1268" s="511">
        <f t="shared" si="112"/>
        <v>0</v>
      </c>
      <c r="G1268" s="469">
        <f t="shared" si="113"/>
        <v>0</v>
      </c>
      <c r="H1268" s="506">
        <f>+J1220*G1268+E1268</f>
        <v>0</v>
      </c>
      <c r="I1268" s="512">
        <f>+J1221*G1268+E1268</f>
        <v>0</v>
      </c>
      <c r="J1268" s="509">
        <f t="shared" si="114"/>
        <v>0</v>
      </c>
      <c r="K1268" s="509"/>
      <c r="L1268" s="513"/>
      <c r="M1268" s="509">
        <f t="shared" si="115"/>
        <v>0</v>
      </c>
      <c r="N1268" s="513"/>
      <c r="O1268" s="509">
        <f t="shared" si="116"/>
        <v>0</v>
      </c>
      <c r="P1268" s="509">
        <f t="shared" si="117"/>
        <v>0</v>
      </c>
      <c r="Q1268" s="471"/>
    </row>
    <row r="1269" spans="3:17">
      <c r="C1269" s="505">
        <f>IF(D1219="","-",+C1268+1)</f>
        <v>2059</v>
      </c>
      <c r="D1269" s="469">
        <f t="shared" si="118"/>
        <v>0</v>
      </c>
      <c r="E1269" s="511">
        <f t="shared" si="119"/>
        <v>0</v>
      </c>
      <c r="F1269" s="511">
        <f t="shared" si="112"/>
        <v>0</v>
      </c>
      <c r="G1269" s="469">
        <f t="shared" si="113"/>
        <v>0</v>
      </c>
      <c r="H1269" s="506">
        <f>+J1220*G1269+E1269</f>
        <v>0</v>
      </c>
      <c r="I1269" s="512">
        <f>+J1221*G1269+E1269</f>
        <v>0</v>
      </c>
      <c r="J1269" s="509">
        <f t="shared" si="114"/>
        <v>0</v>
      </c>
      <c r="K1269" s="509"/>
      <c r="L1269" s="513"/>
      <c r="M1269" s="509">
        <f t="shared" si="115"/>
        <v>0</v>
      </c>
      <c r="N1269" s="513"/>
      <c r="O1269" s="509">
        <f t="shared" si="116"/>
        <v>0</v>
      </c>
      <c r="P1269" s="509">
        <f t="shared" si="117"/>
        <v>0</v>
      </c>
      <c r="Q1269" s="471"/>
    </row>
    <row r="1270" spans="3:17">
      <c r="C1270" s="505">
        <f>IF(D1219="","-",+C1269+1)</f>
        <v>2060</v>
      </c>
      <c r="D1270" s="469">
        <f t="shared" si="118"/>
        <v>0</v>
      </c>
      <c r="E1270" s="511">
        <f t="shared" si="119"/>
        <v>0</v>
      </c>
      <c r="F1270" s="511">
        <f t="shared" si="112"/>
        <v>0</v>
      </c>
      <c r="G1270" s="469">
        <f t="shared" si="113"/>
        <v>0</v>
      </c>
      <c r="H1270" s="506">
        <f>+J1220*G1270+E1270</f>
        <v>0</v>
      </c>
      <c r="I1270" s="512">
        <f>+J1221*G1270+E1270</f>
        <v>0</v>
      </c>
      <c r="J1270" s="509">
        <f t="shared" si="114"/>
        <v>0</v>
      </c>
      <c r="K1270" s="509"/>
      <c r="L1270" s="513"/>
      <c r="M1270" s="509">
        <f t="shared" si="115"/>
        <v>0</v>
      </c>
      <c r="N1270" s="513"/>
      <c r="O1270" s="509">
        <f t="shared" si="116"/>
        <v>0</v>
      </c>
      <c r="P1270" s="509">
        <f t="shared" si="117"/>
        <v>0</v>
      </c>
      <c r="Q1270" s="471"/>
    </row>
    <row r="1271" spans="3:17">
      <c r="C1271" s="505">
        <f>IF(D1219="","-",+C1270+1)</f>
        <v>2061</v>
      </c>
      <c r="D1271" s="469">
        <f t="shared" si="118"/>
        <v>0</v>
      </c>
      <c r="E1271" s="511">
        <f t="shared" si="119"/>
        <v>0</v>
      </c>
      <c r="F1271" s="511">
        <f t="shared" si="112"/>
        <v>0</v>
      </c>
      <c r="G1271" s="469">
        <f t="shared" si="113"/>
        <v>0</v>
      </c>
      <c r="H1271" s="506">
        <f>+J1220*G1271+E1271</f>
        <v>0</v>
      </c>
      <c r="I1271" s="512">
        <f>+J1221*G1271+E1271</f>
        <v>0</v>
      </c>
      <c r="J1271" s="509">
        <f t="shared" si="114"/>
        <v>0</v>
      </c>
      <c r="K1271" s="509"/>
      <c r="L1271" s="513"/>
      <c r="M1271" s="509">
        <f t="shared" si="115"/>
        <v>0</v>
      </c>
      <c r="N1271" s="513"/>
      <c r="O1271" s="509">
        <f t="shared" si="116"/>
        <v>0</v>
      </c>
      <c r="P1271" s="509">
        <f t="shared" si="117"/>
        <v>0</v>
      </c>
      <c r="Q1271" s="471"/>
    </row>
    <row r="1272" spans="3:17">
      <c r="C1272" s="505">
        <f>IF(D1219="","-",+C1271+1)</f>
        <v>2062</v>
      </c>
      <c r="D1272" s="469">
        <f t="shared" si="118"/>
        <v>0</v>
      </c>
      <c r="E1272" s="511">
        <f t="shared" si="119"/>
        <v>0</v>
      </c>
      <c r="F1272" s="511">
        <f t="shared" si="112"/>
        <v>0</v>
      </c>
      <c r="G1272" s="469">
        <f t="shared" si="113"/>
        <v>0</v>
      </c>
      <c r="H1272" s="506">
        <f>+J1220*G1272+E1272</f>
        <v>0</v>
      </c>
      <c r="I1272" s="512">
        <f>+J1221*G1272+E1272</f>
        <v>0</v>
      </c>
      <c r="J1272" s="509">
        <f t="shared" si="114"/>
        <v>0</v>
      </c>
      <c r="K1272" s="509"/>
      <c r="L1272" s="513"/>
      <c r="M1272" s="509">
        <f t="shared" si="115"/>
        <v>0</v>
      </c>
      <c r="N1272" s="513"/>
      <c r="O1272" s="509">
        <f t="shared" si="116"/>
        <v>0</v>
      </c>
      <c r="P1272" s="509">
        <f t="shared" si="117"/>
        <v>0</v>
      </c>
      <c r="Q1272" s="471"/>
    </row>
    <row r="1273" spans="3:17">
      <c r="C1273" s="505">
        <f>IF(D1219="","-",+C1272+1)</f>
        <v>2063</v>
      </c>
      <c r="D1273" s="469">
        <f t="shared" si="118"/>
        <v>0</v>
      </c>
      <c r="E1273" s="511">
        <f t="shared" si="119"/>
        <v>0</v>
      </c>
      <c r="F1273" s="511">
        <f t="shared" si="112"/>
        <v>0</v>
      </c>
      <c r="G1273" s="469">
        <f t="shared" si="113"/>
        <v>0</v>
      </c>
      <c r="H1273" s="506">
        <f>+J1220*G1273+E1273</f>
        <v>0</v>
      </c>
      <c r="I1273" s="512">
        <f>+J1221*G1273+E1273</f>
        <v>0</v>
      </c>
      <c r="J1273" s="509">
        <f t="shared" si="114"/>
        <v>0</v>
      </c>
      <c r="K1273" s="509"/>
      <c r="L1273" s="513"/>
      <c r="M1273" s="509">
        <f t="shared" si="115"/>
        <v>0</v>
      </c>
      <c r="N1273" s="513"/>
      <c r="O1273" s="509">
        <f t="shared" si="116"/>
        <v>0</v>
      </c>
      <c r="P1273" s="509">
        <f t="shared" si="117"/>
        <v>0</v>
      </c>
      <c r="Q1273" s="471"/>
    </row>
    <row r="1274" spans="3:17">
      <c r="C1274" s="505">
        <f>IF(D1219="","-",+C1273+1)</f>
        <v>2064</v>
      </c>
      <c r="D1274" s="469">
        <f t="shared" si="118"/>
        <v>0</v>
      </c>
      <c r="E1274" s="511">
        <f t="shared" si="119"/>
        <v>0</v>
      </c>
      <c r="F1274" s="511">
        <f t="shared" si="112"/>
        <v>0</v>
      </c>
      <c r="G1274" s="469">
        <f t="shared" si="113"/>
        <v>0</v>
      </c>
      <c r="H1274" s="506">
        <f>+J1220*G1274+E1274</f>
        <v>0</v>
      </c>
      <c r="I1274" s="512">
        <f>+J1221*G1274+E1274</f>
        <v>0</v>
      </c>
      <c r="J1274" s="509">
        <f t="shared" si="114"/>
        <v>0</v>
      </c>
      <c r="K1274" s="509"/>
      <c r="L1274" s="513"/>
      <c r="M1274" s="509">
        <f t="shared" si="115"/>
        <v>0</v>
      </c>
      <c r="N1274" s="513"/>
      <c r="O1274" s="509">
        <f t="shared" si="116"/>
        <v>0</v>
      </c>
      <c r="P1274" s="509">
        <f t="shared" si="117"/>
        <v>0</v>
      </c>
      <c r="Q1274" s="471"/>
    </row>
    <row r="1275" spans="3:17">
      <c r="C1275" s="505">
        <f>IF(D1219="","-",+C1274+1)</f>
        <v>2065</v>
      </c>
      <c r="D1275" s="469">
        <f t="shared" si="118"/>
        <v>0</v>
      </c>
      <c r="E1275" s="511">
        <f t="shared" si="119"/>
        <v>0</v>
      </c>
      <c r="F1275" s="511">
        <f t="shared" si="112"/>
        <v>0</v>
      </c>
      <c r="G1275" s="469">
        <f t="shared" si="113"/>
        <v>0</v>
      </c>
      <c r="H1275" s="506">
        <f>+J1220*G1275+E1275</f>
        <v>0</v>
      </c>
      <c r="I1275" s="512">
        <f>+J1221*G1275+E1275</f>
        <v>0</v>
      </c>
      <c r="J1275" s="509">
        <f t="shared" si="114"/>
        <v>0</v>
      </c>
      <c r="K1275" s="509"/>
      <c r="L1275" s="513"/>
      <c r="M1275" s="509">
        <f t="shared" si="115"/>
        <v>0</v>
      </c>
      <c r="N1275" s="513"/>
      <c r="O1275" s="509">
        <f t="shared" si="116"/>
        <v>0</v>
      </c>
      <c r="P1275" s="509">
        <f t="shared" si="117"/>
        <v>0</v>
      </c>
      <c r="Q1275" s="471"/>
    </row>
    <row r="1276" spans="3:17">
      <c r="C1276" s="505">
        <f>IF(D1219="","-",+C1275+1)</f>
        <v>2066</v>
      </c>
      <c r="D1276" s="469">
        <f t="shared" si="118"/>
        <v>0</v>
      </c>
      <c r="E1276" s="511">
        <f t="shared" si="119"/>
        <v>0</v>
      </c>
      <c r="F1276" s="511">
        <f t="shared" si="112"/>
        <v>0</v>
      </c>
      <c r="G1276" s="469">
        <f t="shared" si="113"/>
        <v>0</v>
      </c>
      <c r="H1276" s="506">
        <f>+J1220*G1276+E1276</f>
        <v>0</v>
      </c>
      <c r="I1276" s="512">
        <f>+J1221*G1276+E1276</f>
        <v>0</v>
      </c>
      <c r="J1276" s="509">
        <f t="shared" si="114"/>
        <v>0</v>
      </c>
      <c r="K1276" s="509"/>
      <c r="L1276" s="513"/>
      <c r="M1276" s="509">
        <f t="shared" si="115"/>
        <v>0</v>
      </c>
      <c r="N1276" s="513"/>
      <c r="O1276" s="509">
        <f t="shared" si="116"/>
        <v>0</v>
      </c>
      <c r="P1276" s="509">
        <f t="shared" si="117"/>
        <v>0</v>
      </c>
      <c r="Q1276" s="471"/>
    </row>
    <row r="1277" spans="3:17">
      <c r="C1277" s="505">
        <f>IF(D1219="","-",+C1276+1)</f>
        <v>2067</v>
      </c>
      <c r="D1277" s="469">
        <f t="shared" si="118"/>
        <v>0</v>
      </c>
      <c r="E1277" s="511">
        <f t="shared" si="119"/>
        <v>0</v>
      </c>
      <c r="F1277" s="511">
        <f t="shared" si="112"/>
        <v>0</v>
      </c>
      <c r="G1277" s="469">
        <f t="shared" si="113"/>
        <v>0</v>
      </c>
      <c r="H1277" s="506">
        <f>+J1220*G1277+E1277</f>
        <v>0</v>
      </c>
      <c r="I1277" s="512">
        <f>+J1221*G1277+E1277</f>
        <v>0</v>
      </c>
      <c r="J1277" s="509">
        <f t="shared" si="114"/>
        <v>0</v>
      </c>
      <c r="K1277" s="509"/>
      <c r="L1277" s="513"/>
      <c r="M1277" s="509">
        <f t="shared" si="115"/>
        <v>0</v>
      </c>
      <c r="N1277" s="513"/>
      <c r="O1277" s="509">
        <f t="shared" si="116"/>
        <v>0</v>
      </c>
      <c r="P1277" s="509">
        <f t="shared" si="117"/>
        <v>0</v>
      </c>
      <c r="Q1277" s="471"/>
    </row>
    <row r="1278" spans="3:17">
      <c r="C1278" s="505">
        <f>IF(D1219="","-",+C1277+1)</f>
        <v>2068</v>
      </c>
      <c r="D1278" s="469">
        <f t="shared" si="118"/>
        <v>0</v>
      </c>
      <c r="E1278" s="511">
        <f t="shared" si="119"/>
        <v>0</v>
      </c>
      <c r="F1278" s="511">
        <f t="shared" si="112"/>
        <v>0</v>
      </c>
      <c r="G1278" s="469">
        <f t="shared" si="113"/>
        <v>0</v>
      </c>
      <c r="H1278" s="506">
        <f>+J1220*G1278+E1278</f>
        <v>0</v>
      </c>
      <c r="I1278" s="512">
        <f>+J1221*G1278+E1278</f>
        <v>0</v>
      </c>
      <c r="J1278" s="509">
        <f t="shared" si="114"/>
        <v>0</v>
      </c>
      <c r="K1278" s="509"/>
      <c r="L1278" s="513"/>
      <c r="M1278" s="509">
        <f t="shared" si="115"/>
        <v>0</v>
      </c>
      <c r="N1278" s="513"/>
      <c r="O1278" s="509">
        <f t="shared" si="116"/>
        <v>0</v>
      </c>
      <c r="P1278" s="509">
        <f t="shared" si="117"/>
        <v>0</v>
      </c>
      <c r="Q1278" s="471"/>
    </row>
    <row r="1279" spans="3:17">
      <c r="C1279" s="505">
        <f>IF(D1219="","-",+C1278+1)</f>
        <v>2069</v>
      </c>
      <c r="D1279" s="469">
        <f t="shared" si="118"/>
        <v>0</v>
      </c>
      <c r="E1279" s="511">
        <f t="shared" si="119"/>
        <v>0</v>
      </c>
      <c r="F1279" s="511">
        <f t="shared" si="112"/>
        <v>0</v>
      </c>
      <c r="G1279" s="469">
        <f t="shared" si="113"/>
        <v>0</v>
      </c>
      <c r="H1279" s="506">
        <f>+J1220*G1279+E1279</f>
        <v>0</v>
      </c>
      <c r="I1279" s="512">
        <f>+J1221*G1279+E1279</f>
        <v>0</v>
      </c>
      <c r="J1279" s="509">
        <f t="shared" si="114"/>
        <v>0</v>
      </c>
      <c r="K1279" s="509"/>
      <c r="L1279" s="513"/>
      <c r="M1279" s="509">
        <f t="shared" si="115"/>
        <v>0</v>
      </c>
      <c r="N1279" s="513"/>
      <c r="O1279" s="509">
        <f t="shared" si="116"/>
        <v>0</v>
      </c>
      <c r="P1279" s="509">
        <f t="shared" si="117"/>
        <v>0</v>
      </c>
      <c r="Q1279" s="471"/>
    </row>
    <row r="1280" spans="3:17">
      <c r="C1280" s="505">
        <f>IF(D1219="","-",+C1279+1)</f>
        <v>2070</v>
      </c>
      <c r="D1280" s="469">
        <f t="shared" si="118"/>
        <v>0</v>
      </c>
      <c r="E1280" s="511">
        <f t="shared" si="119"/>
        <v>0</v>
      </c>
      <c r="F1280" s="511">
        <f t="shared" si="112"/>
        <v>0</v>
      </c>
      <c r="G1280" s="469">
        <f t="shared" si="113"/>
        <v>0</v>
      </c>
      <c r="H1280" s="506">
        <f>+J1220*G1280+E1280</f>
        <v>0</v>
      </c>
      <c r="I1280" s="512">
        <f>+J1221*G1280+E1280</f>
        <v>0</v>
      </c>
      <c r="J1280" s="509">
        <f t="shared" si="114"/>
        <v>0</v>
      </c>
      <c r="K1280" s="509"/>
      <c r="L1280" s="513"/>
      <c r="M1280" s="509">
        <f t="shared" si="115"/>
        <v>0</v>
      </c>
      <c r="N1280" s="513"/>
      <c r="O1280" s="509">
        <f t="shared" si="116"/>
        <v>0</v>
      </c>
      <c r="P1280" s="509">
        <f t="shared" si="117"/>
        <v>0</v>
      </c>
      <c r="Q1280" s="471"/>
    </row>
    <row r="1281" spans="1:17">
      <c r="C1281" s="505">
        <f>IF(D1219="","-",+C1280+1)</f>
        <v>2071</v>
      </c>
      <c r="D1281" s="469">
        <f t="shared" si="118"/>
        <v>0</v>
      </c>
      <c r="E1281" s="511">
        <f t="shared" si="119"/>
        <v>0</v>
      </c>
      <c r="F1281" s="511">
        <f t="shared" si="112"/>
        <v>0</v>
      </c>
      <c r="G1281" s="469">
        <f t="shared" si="113"/>
        <v>0</v>
      </c>
      <c r="H1281" s="506">
        <f>+J1220*G1281+E1281</f>
        <v>0</v>
      </c>
      <c r="I1281" s="512">
        <f>+J1221*G1281+E1281</f>
        <v>0</v>
      </c>
      <c r="J1281" s="509">
        <f t="shared" si="114"/>
        <v>0</v>
      </c>
      <c r="K1281" s="509"/>
      <c r="L1281" s="513"/>
      <c r="M1281" s="509">
        <f t="shared" si="115"/>
        <v>0</v>
      </c>
      <c r="N1281" s="513"/>
      <c r="O1281" s="509">
        <f t="shared" si="116"/>
        <v>0</v>
      </c>
      <c r="P1281" s="509">
        <f t="shared" si="117"/>
        <v>0</v>
      </c>
      <c r="Q1281" s="471"/>
    </row>
    <row r="1282" spans="1:17">
      <c r="C1282" s="505">
        <f>IF(D1219="","-",+C1281+1)</f>
        <v>2072</v>
      </c>
      <c r="D1282" s="469">
        <f t="shared" si="118"/>
        <v>0</v>
      </c>
      <c r="E1282" s="511">
        <f t="shared" si="119"/>
        <v>0</v>
      </c>
      <c r="F1282" s="511">
        <f t="shared" si="112"/>
        <v>0</v>
      </c>
      <c r="G1282" s="469">
        <f t="shared" si="113"/>
        <v>0</v>
      </c>
      <c r="H1282" s="506">
        <f>+J1220*G1282+E1282</f>
        <v>0</v>
      </c>
      <c r="I1282" s="512">
        <f>+J1221*G1282+E1282</f>
        <v>0</v>
      </c>
      <c r="J1282" s="509">
        <f t="shared" si="114"/>
        <v>0</v>
      </c>
      <c r="K1282" s="509"/>
      <c r="L1282" s="513"/>
      <c r="M1282" s="509">
        <f t="shared" si="115"/>
        <v>0</v>
      </c>
      <c r="N1282" s="513"/>
      <c r="O1282" s="509">
        <f t="shared" si="116"/>
        <v>0</v>
      </c>
      <c r="P1282" s="509">
        <f t="shared" si="117"/>
        <v>0</v>
      </c>
      <c r="Q1282" s="471"/>
    </row>
    <row r="1283" spans="1:17">
      <c r="C1283" s="505">
        <f>IF(D1219="","-",+C1282+1)</f>
        <v>2073</v>
      </c>
      <c r="D1283" s="469">
        <f t="shared" si="118"/>
        <v>0</v>
      </c>
      <c r="E1283" s="511">
        <f t="shared" si="119"/>
        <v>0</v>
      </c>
      <c r="F1283" s="511">
        <f t="shared" si="112"/>
        <v>0</v>
      </c>
      <c r="G1283" s="469">
        <f t="shared" si="113"/>
        <v>0</v>
      </c>
      <c r="H1283" s="506">
        <f>+J1220*G1283+E1283</f>
        <v>0</v>
      </c>
      <c r="I1283" s="512">
        <f>+J1221*G1283+E1283</f>
        <v>0</v>
      </c>
      <c r="J1283" s="509">
        <f t="shared" si="114"/>
        <v>0</v>
      </c>
      <c r="K1283" s="509"/>
      <c r="L1283" s="513"/>
      <c r="M1283" s="509">
        <f t="shared" si="115"/>
        <v>0</v>
      </c>
      <c r="N1283" s="513"/>
      <c r="O1283" s="509">
        <f t="shared" si="116"/>
        <v>0</v>
      </c>
      <c r="P1283" s="509">
        <f t="shared" si="117"/>
        <v>0</v>
      </c>
      <c r="Q1283" s="471"/>
    </row>
    <row r="1284" spans="1:17" ht="13.5" thickBot="1">
      <c r="C1284" s="515">
        <f>IF(D1219="","-",+C1283+1)</f>
        <v>2074</v>
      </c>
      <c r="D1284" s="516">
        <f t="shared" si="118"/>
        <v>0</v>
      </c>
      <c r="E1284" s="511">
        <f t="shared" si="119"/>
        <v>0</v>
      </c>
      <c r="F1284" s="517">
        <f t="shared" si="112"/>
        <v>0</v>
      </c>
      <c r="G1284" s="516">
        <f t="shared" si="113"/>
        <v>0</v>
      </c>
      <c r="H1284" s="518">
        <f>+J1220*G1284+E1284</f>
        <v>0</v>
      </c>
      <c r="I1284" s="518">
        <f>+J1221*G1284+E1284</f>
        <v>0</v>
      </c>
      <c r="J1284" s="519">
        <f t="shared" si="114"/>
        <v>0</v>
      </c>
      <c r="K1284" s="509"/>
      <c r="L1284" s="520"/>
      <c r="M1284" s="519">
        <f t="shared" si="115"/>
        <v>0</v>
      </c>
      <c r="N1284" s="520"/>
      <c r="O1284" s="519">
        <f t="shared" si="116"/>
        <v>0</v>
      </c>
      <c r="P1284" s="519">
        <f t="shared" si="117"/>
        <v>0</v>
      </c>
      <c r="Q1284" s="471"/>
    </row>
    <row r="1285" spans="1:17">
      <c r="C1285" s="469" t="s">
        <v>288</v>
      </c>
      <c r="D1285" s="467"/>
      <c r="E1285" s="467">
        <f>SUM(E1225:E1284)</f>
        <v>3059125.5899999994</v>
      </c>
      <c r="F1285" s="467"/>
      <c r="G1285" s="467"/>
      <c r="H1285" s="467">
        <f>SUM(H1225:H1284)</f>
        <v>13151969.790280567</v>
      </c>
      <c r="I1285" s="467">
        <f>SUM(I1225:I1284)</f>
        <v>13151969.790280567</v>
      </c>
      <c r="J1285" s="467">
        <f>SUM(J1225:J1284)</f>
        <v>0</v>
      </c>
      <c r="K1285" s="467"/>
      <c r="L1285" s="467"/>
      <c r="M1285" s="467"/>
      <c r="N1285" s="467"/>
      <c r="O1285" s="467"/>
      <c r="Q1285" s="467"/>
    </row>
    <row r="1286" spans="1:17">
      <c r="D1286" s="79"/>
      <c r="E1286" s="4"/>
      <c r="F1286" s="4"/>
      <c r="G1286" s="4"/>
      <c r="H1286" s="4"/>
      <c r="I1286" s="452"/>
      <c r="J1286" s="452"/>
      <c r="K1286" s="467"/>
      <c r="L1286" s="452"/>
      <c r="M1286" s="452"/>
      <c r="N1286" s="452"/>
      <c r="O1286" s="452"/>
      <c r="Q1286" s="467"/>
    </row>
    <row r="1287" spans="1:17">
      <c r="C1287" s="4" t="s">
        <v>595</v>
      </c>
      <c r="D1287" s="79"/>
      <c r="E1287" s="4"/>
      <c r="F1287" s="4"/>
      <c r="G1287" s="4"/>
      <c r="H1287" s="4"/>
      <c r="I1287" s="452"/>
      <c r="J1287" s="452"/>
      <c r="K1287" s="467"/>
      <c r="L1287" s="452"/>
      <c r="M1287" s="452"/>
      <c r="N1287" s="452"/>
      <c r="O1287" s="452"/>
      <c r="Q1287" s="467"/>
    </row>
    <row r="1288" spans="1:17">
      <c r="D1288" s="79"/>
      <c r="E1288" s="4"/>
      <c r="F1288" s="4"/>
      <c r="G1288" s="4"/>
      <c r="H1288" s="4"/>
      <c r="I1288" s="452"/>
      <c r="J1288" s="452"/>
      <c r="K1288" s="467"/>
      <c r="L1288" s="452"/>
      <c r="M1288" s="452"/>
      <c r="N1288" s="452"/>
      <c r="O1288" s="452"/>
      <c r="Q1288" s="467"/>
    </row>
    <row r="1289" spans="1:17">
      <c r="C1289" s="4" t="s">
        <v>596</v>
      </c>
      <c r="D1289" s="469"/>
      <c r="E1289" s="469"/>
      <c r="F1289" s="469"/>
      <c r="G1289" s="469"/>
      <c r="H1289" s="467"/>
      <c r="I1289" s="467"/>
      <c r="J1289" s="471"/>
      <c r="K1289" s="471"/>
      <c r="L1289" s="471"/>
      <c r="M1289" s="471"/>
      <c r="N1289" s="471"/>
      <c r="O1289" s="471"/>
      <c r="Q1289" s="471"/>
    </row>
    <row r="1290" spans="1:17">
      <c r="C1290" s="4" t="s">
        <v>476</v>
      </c>
      <c r="D1290" s="469"/>
      <c r="E1290" s="469"/>
      <c r="F1290" s="469"/>
      <c r="G1290" s="469"/>
      <c r="H1290" s="467"/>
      <c r="I1290" s="467"/>
      <c r="J1290" s="471"/>
      <c r="K1290" s="471"/>
      <c r="L1290" s="471"/>
      <c r="M1290" s="471"/>
      <c r="N1290" s="471"/>
      <c r="O1290" s="471"/>
      <c r="Q1290" s="471"/>
    </row>
    <row r="1291" spans="1:17">
      <c r="C1291" s="4" t="s">
        <v>289</v>
      </c>
      <c r="D1291" s="469"/>
      <c r="E1291" s="469"/>
      <c r="F1291" s="469"/>
      <c r="G1291" s="469"/>
      <c r="H1291" s="467"/>
      <c r="I1291" s="467"/>
      <c r="J1291" s="471"/>
      <c r="K1291" s="471"/>
      <c r="L1291" s="471"/>
      <c r="M1291" s="471"/>
      <c r="N1291" s="471"/>
      <c r="O1291" s="471"/>
      <c r="Q1291" s="471"/>
    </row>
    <row r="1292" spans="1:17" ht="20.25">
      <c r="A1292" s="411" t="s">
        <v>762</v>
      </c>
      <c r="B1292" s="4"/>
      <c r="C1292" s="4"/>
      <c r="D1292" s="79"/>
      <c r="E1292" s="4"/>
      <c r="F1292" s="81"/>
      <c r="G1292" s="81"/>
      <c r="H1292" s="4"/>
      <c r="I1292" s="452"/>
      <c r="L1292" s="11"/>
      <c r="M1292" s="11"/>
      <c r="N1292" s="11"/>
      <c r="O1292" s="11" t="str">
        <f>"Page "&amp;SUM(Q$3:Q1292)&amp;" of "</f>
        <v xml:space="preserve">Page 16 of </v>
      </c>
      <c r="P1292" s="412">
        <f>COUNT(Q$8:Q$58212)</f>
        <v>23</v>
      </c>
      <c r="Q1292" s="539">
        <v>1</v>
      </c>
    </row>
    <row r="1293" spans="1:17">
      <c r="B1293" s="4"/>
      <c r="C1293" s="4"/>
      <c r="D1293" s="79"/>
      <c r="E1293" s="4"/>
      <c r="F1293" s="4"/>
      <c r="G1293" s="4"/>
      <c r="H1293" s="4"/>
      <c r="I1293" s="452"/>
      <c r="J1293" s="4"/>
      <c r="K1293" s="4"/>
    </row>
    <row r="1294" spans="1:17" ht="18">
      <c r="B1294" s="413" t="s">
        <v>174</v>
      </c>
      <c r="C1294" s="472" t="s">
        <v>290</v>
      </c>
      <c r="D1294" s="79"/>
      <c r="E1294" s="4"/>
      <c r="F1294" s="4"/>
      <c r="G1294" s="4"/>
      <c r="H1294" s="4"/>
      <c r="I1294" s="452"/>
      <c r="J1294" s="452"/>
      <c r="K1294" s="467"/>
      <c r="L1294" s="452"/>
      <c r="M1294" s="452"/>
      <c r="N1294" s="452"/>
      <c r="O1294" s="452"/>
      <c r="Q1294" s="467"/>
    </row>
    <row r="1295" spans="1:17" ht="18.75">
      <c r="B1295" s="413"/>
      <c r="C1295" s="13"/>
      <c r="D1295" s="79"/>
      <c r="E1295" s="4"/>
      <c r="F1295" s="4"/>
      <c r="G1295" s="4"/>
      <c r="H1295" s="4"/>
      <c r="I1295" s="452"/>
      <c r="J1295" s="452"/>
      <c r="K1295" s="467"/>
      <c r="L1295" s="452"/>
      <c r="M1295" s="452"/>
      <c r="N1295" s="452"/>
      <c r="O1295" s="452"/>
      <c r="Q1295" s="467"/>
    </row>
    <row r="1296" spans="1:17" ht="18.75">
      <c r="B1296" s="413"/>
      <c r="C1296" s="13" t="s">
        <v>291</v>
      </c>
      <c r="D1296" s="79"/>
      <c r="E1296" s="4"/>
      <c r="F1296" s="4"/>
      <c r="G1296" s="4"/>
      <c r="H1296" s="4"/>
      <c r="I1296" s="452"/>
      <c r="J1296" s="452"/>
      <c r="K1296" s="467"/>
      <c r="L1296" s="452"/>
      <c r="M1296" s="452"/>
      <c r="N1296" s="452"/>
      <c r="O1296" s="452"/>
      <c r="Q1296" s="467"/>
    </row>
    <row r="1297" spans="1:17" ht="15.75" thickBot="1">
      <c r="C1297" s="247"/>
      <c r="D1297" s="79"/>
      <c r="E1297" s="4"/>
      <c r="F1297" s="4"/>
      <c r="G1297" s="4"/>
      <c r="H1297" s="4"/>
      <c r="I1297" s="452"/>
      <c r="J1297" s="452"/>
      <c r="K1297" s="467"/>
      <c r="L1297" s="452"/>
      <c r="M1297" s="452"/>
      <c r="N1297" s="452"/>
      <c r="O1297" s="452"/>
      <c r="Q1297" s="467"/>
    </row>
    <row r="1298" spans="1:17" ht="15.75">
      <c r="C1298" s="414" t="s">
        <v>292</v>
      </c>
      <c r="D1298" s="79"/>
      <c r="E1298" s="4"/>
      <c r="F1298" s="4"/>
      <c r="G1298" s="4"/>
      <c r="H1298" s="635"/>
      <c r="I1298" s="4" t="s">
        <v>271</v>
      </c>
      <c r="J1298" s="4"/>
      <c r="K1298" s="4"/>
      <c r="L1298" s="540">
        <f>+J1304</f>
        <v>2025</v>
      </c>
      <c r="M1298" s="524" t="s">
        <v>254</v>
      </c>
      <c r="N1298" s="524" t="s">
        <v>255</v>
      </c>
      <c r="O1298" s="525" t="s">
        <v>256</v>
      </c>
    </row>
    <row r="1299" spans="1:17" ht="15.75">
      <c r="C1299" s="414"/>
      <c r="D1299" s="79"/>
      <c r="E1299" s="4"/>
      <c r="F1299" s="4"/>
      <c r="H1299" s="4"/>
      <c r="I1299" s="476"/>
      <c r="J1299" s="476"/>
      <c r="K1299" s="477"/>
      <c r="L1299" s="541" t="s">
        <v>455</v>
      </c>
      <c r="M1299" s="542">
        <f>VLOOKUP(J1304,C1311:P1370,10)</f>
        <v>295005.79722750559</v>
      </c>
      <c r="N1299" s="542">
        <f>VLOOKUP(J1304,C1311:P1370,12)</f>
        <v>295005.79722750559</v>
      </c>
      <c r="O1299" s="543">
        <f>+N1299-M1299</f>
        <v>0</v>
      </c>
      <c r="Q1299" s="477"/>
    </row>
    <row r="1300" spans="1:17">
      <c r="C1300" s="479" t="s">
        <v>293</v>
      </c>
      <c r="D1300" s="1276" t="s">
        <v>938</v>
      </c>
      <c r="E1300" s="1276"/>
      <c r="F1300" s="1276"/>
      <c r="G1300" s="1276"/>
      <c r="H1300" s="1276"/>
      <c r="I1300" s="1276"/>
      <c r="J1300" s="452"/>
      <c r="K1300" s="467"/>
      <c r="L1300" s="541" t="s">
        <v>456</v>
      </c>
      <c r="M1300" s="544">
        <f>VLOOKUP(J1304,C1311:P1370,6)</f>
        <v>303370.62511510251</v>
      </c>
      <c r="N1300" s="544">
        <f>VLOOKUP(J1304,C1311:P1370,7)</f>
        <v>303370.62511510251</v>
      </c>
      <c r="O1300" s="545">
        <f>+N1300-M1300</f>
        <v>0</v>
      </c>
      <c r="Q1300" s="467"/>
    </row>
    <row r="1301" spans="1:17" ht="13.5" thickBot="1">
      <c r="C1301" s="481"/>
      <c r="D1301" s="1276" t="s">
        <v>114</v>
      </c>
      <c r="E1301" s="1276"/>
      <c r="F1301" s="1276"/>
      <c r="G1301" s="1276"/>
      <c r="H1301" s="1276"/>
      <c r="I1301" s="1276"/>
      <c r="J1301" s="452"/>
      <c r="K1301" s="467"/>
      <c r="L1301" s="492" t="s">
        <v>457</v>
      </c>
      <c r="M1301" s="546">
        <f>+M1300-M1299</f>
        <v>8364.8278875969118</v>
      </c>
      <c r="N1301" s="546">
        <f>+N1300-N1299</f>
        <v>8364.8278875969118</v>
      </c>
      <c r="O1301" s="547">
        <f>+O1300-O1299</f>
        <v>0</v>
      </c>
      <c r="Q1301" s="467"/>
    </row>
    <row r="1302" spans="1:17" ht="13.5" thickBot="1">
      <c r="C1302" s="481"/>
      <c r="D1302" s="4"/>
      <c r="E1302" s="483"/>
      <c r="F1302" s="483"/>
      <c r="G1302" s="483"/>
      <c r="H1302" s="483"/>
      <c r="I1302" s="483"/>
      <c r="J1302" s="483"/>
      <c r="K1302" s="483"/>
      <c r="L1302" s="483"/>
      <c r="M1302" s="483"/>
      <c r="N1302" s="483"/>
      <c r="O1302" s="483"/>
      <c r="Q1302" s="483"/>
    </row>
    <row r="1303" spans="1:17" ht="13.5" thickBot="1">
      <c r="C1303" s="484" t="s">
        <v>294</v>
      </c>
      <c r="D1303" s="485"/>
      <c r="E1303" s="485"/>
      <c r="F1303" s="485"/>
      <c r="G1303" s="485"/>
      <c r="H1303" s="485"/>
      <c r="I1303" s="485"/>
      <c r="J1303" s="485"/>
      <c r="Q1303"/>
    </row>
    <row r="1304" spans="1:17" ht="15">
      <c r="A1304" s="977"/>
      <c r="C1304" s="487" t="s">
        <v>272</v>
      </c>
      <c r="D1304" s="926">
        <v>2169182.02</v>
      </c>
      <c r="E1304" s="4" t="s">
        <v>273</v>
      </c>
      <c r="H1304" s="79"/>
      <c r="I1304" s="79"/>
      <c r="J1304" s="488">
        <f>$J$95</f>
        <v>2025</v>
      </c>
      <c r="K1304" s="135"/>
      <c r="L1304" s="1287" t="s">
        <v>274</v>
      </c>
      <c r="M1304" s="1287"/>
      <c r="N1304" s="1287"/>
      <c r="O1304" s="1287"/>
      <c r="Q1304" s="135"/>
    </row>
    <row r="1305" spans="1:17">
      <c r="A1305" s="977"/>
      <c r="C1305" s="487" t="s">
        <v>275</v>
      </c>
      <c r="D1305" s="636">
        <v>2015</v>
      </c>
      <c r="E1305" s="487" t="s">
        <v>276</v>
      </c>
      <c r="F1305" s="79"/>
      <c r="G1305" s="79"/>
      <c r="I1305"/>
      <c r="J1305" s="638">
        <v>0</v>
      </c>
      <c r="K1305" s="489"/>
      <c r="L1305" s="467" t="s">
        <v>475</v>
      </c>
      <c r="Q1305" s="489"/>
    </row>
    <row r="1306" spans="1:17">
      <c r="A1306" s="977"/>
      <c r="C1306" s="487" t="s">
        <v>277</v>
      </c>
      <c r="D1306" s="926">
        <v>12</v>
      </c>
      <c r="E1306" s="487" t="s">
        <v>278</v>
      </c>
      <c r="F1306" s="79"/>
      <c r="G1306" s="79"/>
      <c r="I1306"/>
      <c r="J1306" s="490">
        <f>$F$70</f>
        <v>0.14996626714737105</v>
      </c>
      <c r="K1306" s="81"/>
      <c r="L1306" s="4" t="str">
        <f>"          INPUT TRUE-UP ARR (WITH &amp; WITHOUT INCENTIVES) FROM EACH PRIOR YEAR"</f>
        <v xml:space="preserve">          INPUT TRUE-UP ARR (WITH &amp; WITHOUT INCENTIVES) FROM EACH PRIOR YEAR</v>
      </c>
      <c r="Q1306" s="81"/>
    </row>
    <row r="1307" spans="1:17">
      <c r="A1307" s="977"/>
      <c r="C1307" s="487" t="s">
        <v>279</v>
      </c>
      <c r="D1307" s="491">
        <f>H79</f>
        <v>42</v>
      </c>
      <c r="E1307" s="487" t="s">
        <v>280</v>
      </c>
      <c r="F1307" s="79"/>
      <c r="G1307" s="79"/>
      <c r="I1307"/>
      <c r="J1307" s="490">
        <f>IF(H1298="",J1306,$F$69)</f>
        <v>0.14996626714737105</v>
      </c>
      <c r="K1307" s="81"/>
      <c r="L1307" s="4" t="s">
        <v>362</v>
      </c>
      <c r="M1307" s="81"/>
      <c r="N1307" s="81"/>
      <c r="O1307" s="81"/>
      <c r="Q1307" s="81"/>
    </row>
    <row r="1308" spans="1:17" ht="13.5" thickBot="1">
      <c r="A1308" s="977"/>
      <c r="C1308" s="487" t="s">
        <v>281</v>
      </c>
      <c r="D1308" s="637" t="s">
        <v>923</v>
      </c>
      <c r="E1308" s="492" t="s">
        <v>282</v>
      </c>
      <c r="F1308" s="493"/>
      <c r="G1308" s="493"/>
      <c r="H1308" s="494"/>
      <c r="I1308" s="494"/>
      <c r="J1308" s="480">
        <f>IF(D1304=0,0,D1304/D1307)</f>
        <v>51647.190952380952</v>
      </c>
      <c r="K1308" s="467"/>
      <c r="L1308" s="467" t="s">
        <v>363</v>
      </c>
      <c r="M1308" s="467"/>
      <c r="N1308" s="467"/>
      <c r="O1308" s="467"/>
      <c r="Q1308" s="467"/>
    </row>
    <row r="1309" spans="1:17" ht="38.25">
      <c r="A1309" s="12"/>
      <c r="B1309" s="12"/>
      <c r="C1309" s="495" t="s">
        <v>272</v>
      </c>
      <c r="D1309" s="496" t="s">
        <v>283</v>
      </c>
      <c r="E1309" s="497" t="s">
        <v>284</v>
      </c>
      <c r="F1309" s="496" t="s">
        <v>285</v>
      </c>
      <c r="G1309" s="496" t="s">
        <v>458</v>
      </c>
      <c r="H1309" s="497" t="s">
        <v>356</v>
      </c>
      <c r="I1309" s="498" t="s">
        <v>356</v>
      </c>
      <c r="J1309" s="495" t="s">
        <v>295</v>
      </c>
      <c r="K1309" s="499"/>
      <c r="L1309" s="497" t="s">
        <v>358</v>
      </c>
      <c r="M1309" s="497" t="s">
        <v>364</v>
      </c>
      <c r="N1309" s="497" t="s">
        <v>358</v>
      </c>
      <c r="O1309" s="497" t="s">
        <v>366</v>
      </c>
      <c r="P1309" s="497" t="s">
        <v>286</v>
      </c>
      <c r="Q1309" s="128"/>
    </row>
    <row r="1310" spans="1:17" ht="13.5" thickBot="1">
      <c r="C1310" s="500" t="s">
        <v>177</v>
      </c>
      <c r="D1310" s="501" t="s">
        <v>178</v>
      </c>
      <c r="E1310" s="500" t="s">
        <v>37</v>
      </c>
      <c r="F1310" s="501" t="s">
        <v>178</v>
      </c>
      <c r="G1310" s="501" t="s">
        <v>178</v>
      </c>
      <c r="H1310" s="502" t="s">
        <v>298</v>
      </c>
      <c r="I1310" s="503" t="s">
        <v>300</v>
      </c>
      <c r="J1310" s="500" t="s">
        <v>389</v>
      </c>
      <c r="K1310" s="504"/>
      <c r="L1310" s="502" t="s">
        <v>287</v>
      </c>
      <c r="M1310" s="502" t="s">
        <v>287</v>
      </c>
      <c r="N1310" s="502" t="s">
        <v>467</v>
      </c>
      <c r="O1310" s="502" t="s">
        <v>467</v>
      </c>
      <c r="P1310" s="502" t="s">
        <v>467</v>
      </c>
      <c r="Q1310" s="135"/>
    </row>
    <row r="1311" spans="1:17">
      <c r="C1311" s="505">
        <f>IF(D1305= "","-",D1305)</f>
        <v>2015</v>
      </c>
      <c r="D1311" s="469">
        <f>+D1304</f>
        <v>2169182.02</v>
      </c>
      <c r="E1311" s="506">
        <f>+J1308/12*(12-D1306)</f>
        <v>0</v>
      </c>
      <c r="F1311" s="548">
        <f t="shared" ref="F1311:F1370" si="120">+D1311-E1311</f>
        <v>2169182.02</v>
      </c>
      <c r="G1311" s="469">
        <f t="shared" ref="G1311:G1370" si="121">+(D1311+F1311)/2</f>
        <v>2169182.02</v>
      </c>
      <c r="H1311" s="507">
        <f>+J1306*G1311+E1311</f>
        <v>325304.13030259399</v>
      </c>
      <c r="I1311" s="508">
        <f>+J1307*G1311+E1311</f>
        <v>325304.13030259399</v>
      </c>
      <c r="J1311" s="509">
        <f t="shared" ref="J1311:J1370" si="122">+I1311-H1311</f>
        <v>0</v>
      </c>
      <c r="K1311" s="509"/>
      <c r="L1311" s="513">
        <v>265269</v>
      </c>
      <c r="M1311" s="549">
        <f t="shared" ref="M1311:M1370" si="123">IF(L1311&lt;&gt;0,+H1311-L1311,0)</f>
        <v>60035.130302593985</v>
      </c>
      <c r="N1311" s="513">
        <v>265269</v>
      </c>
      <c r="O1311" s="549">
        <f t="shared" ref="O1311:O1370" si="124">IF(N1311&lt;&gt;0,+I1311-N1311,0)</f>
        <v>60035.130302593985</v>
      </c>
      <c r="P1311" s="549">
        <f t="shared" ref="P1311:P1370" si="125">+O1311-M1311</f>
        <v>0</v>
      </c>
      <c r="Q1311" s="471"/>
    </row>
    <row r="1312" spans="1:17">
      <c r="C1312" s="505">
        <f>IF(D1305="","-",+C1311+1)</f>
        <v>2016</v>
      </c>
      <c r="D1312" s="469">
        <f t="shared" ref="D1312:D1370" si="126">F1311</f>
        <v>2169182.02</v>
      </c>
      <c r="E1312" s="511">
        <f>IF(D1312&gt;$J$1308,$J$1308,D1312)</f>
        <v>51647.190952380952</v>
      </c>
      <c r="F1312" s="511">
        <f t="shared" si="120"/>
        <v>2117534.8290476189</v>
      </c>
      <c r="G1312" s="469">
        <f t="shared" si="121"/>
        <v>2143358.4245238095</v>
      </c>
      <c r="H1312" s="506">
        <f>+J1306*G1312+E1312</f>
        <v>373078.65303708689</v>
      </c>
      <c r="I1312" s="512">
        <f>+J1307*G1312+E1312</f>
        <v>373078.65303708689</v>
      </c>
      <c r="J1312" s="509">
        <f t="shared" si="122"/>
        <v>0</v>
      </c>
      <c r="K1312" s="509"/>
      <c r="L1312" s="513">
        <v>405050</v>
      </c>
      <c r="M1312" s="509">
        <f t="shared" si="123"/>
        <v>-31971.346962913114</v>
      </c>
      <c r="N1312" s="513">
        <v>405050</v>
      </c>
      <c r="O1312" s="509">
        <f t="shared" si="124"/>
        <v>-31971.346962913114</v>
      </c>
      <c r="P1312" s="509">
        <f t="shared" si="125"/>
        <v>0</v>
      </c>
      <c r="Q1312" s="471"/>
    </row>
    <row r="1313" spans="3:17">
      <c r="C1313" s="505">
        <f>IF(D1305="","-",+C1312+1)</f>
        <v>2017</v>
      </c>
      <c r="D1313" s="469">
        <f t="shared" si="126"/>
        <v>2117534.8290476189</v>
      </c>
      <c r="E1313" s="511">
        <f t="shared" ref="E1313:E1370" si="127">IF(D1313&gt;$J$1308,$J$1308,D1313)</f>
        <v>51647.190952380952</v>
      </c>
      <c r="F1313" s="511">
        <f t="shared" si="120"/>
        <v>2065887.638095238</v>
      </c>
      <c r="G1313" s="469">
        <f t="shared" si="121"/>
        <v>2091711.2335714283</v>
      </c>
      <c r="H1313" s="506">
        <f>+J1306*G1313+E1313</f>
        <v>365333.3166013108</v>
      </c>
      <c r="I1313" s="512">
        <f>+J1307*G1313+E1313</f>
        <v>365333.3166013108</v>
      </c>
      <c r="J1313" s="509">
        <f t="shared" si="122"/>
        <v>0</v>
      </c>
      <c r="K1313" s="509"/>
      <c r="L1313" s="513">
        <v>419228</v>
      </c>
      <c r="M1313" s="509">
        <f t="shared" si="123"/>
        <v>-53894.683398689202</v>
      </c>
      <c r="N1313" s="513">
        <v>419228</v>
      </c>
      <c r="O1313" s="509">
        <f t="shared" si="124"/>
        <v>-53894.683398689202</v>
      </c>
      <c r="P1313" s="509">
        <f t="shared" si="125"/>
        <v>0</v>
      </c>
      <c r="Q1313" s="471"/>
    </row>
    <row r="1314" spans="3:17">
      <c r="C1314" s="505">
        <f>IF(D1305="","-",+C1313+1)</f>
        <v>2018</v>
      </c>
      <c r="D1314" s="469">
        <f t="shared" si="126"/>
        <v>2065887.638095238</v>
      </c>
      <c r="E1314" s="511">
        <f t="shared" si="127"/>
        <v>51647.190952380952</v>
      </c>
      <c r="F1314" s="511">
        <f t="shared" si="120"/>
        <v>2014240.4471428571</v>
      </c>
      <c r="G1314" s="469">
        <f t="shared" si="121"/>
        <v>2040064.0426190477</v>
      </c>
      <c r="H1314" s="506">
        <f>+J1306*G1314+E1314</f>
        <v>357587.98016553483</v>
      </c>
      <c r="I1314" s="512">
        <f>+J1307*G1314+E1314</f>
        <v>357587.98016553483</v>
      </c>
      <c r="J1314" s="509">
        <f t="shared" si="122"/>
        <v>0</v>
      </c>
      <c r="K1314" s="509"/>
      <c r="L1314" s="513">
        <v>326706</v>
      </c>
      <c r="M1314" s="509">
        <f t="shared" si="123"/>
        <v>30881.980165534827</v>
      </c>
      <c r="N1314" s="513">
        <v>326706</v>
      </c>
      <c r="O1314" s="509">
        <f t="shared" si="124"/>
        <v>30881.980165534827</v>
      </c>
      <c r="P1314" s="509">
        <f t="shared" si="125"/>
        <v>0</v>
      </c>
      <c r="Q1314" s="471"/>
    </row>
    <row r="1315" spans="3:17">
      <c r="C1315" s="505">
        <f>IF(D1305="","-",+C1314+1)</f>
        <v>2019</v>
      </c>
      <c r="D1315" s="941">
        <f t="shared" si="126"/>
        <v>2014240.4471428571</v>
      </c>
      <c r="E1315" s="511">
        <f t="shared" si="127"/>
        <v>51647.190952380952</v>
      </c>
      <c r="F1315" s="511">
        <f t="shared" si="120"/>
        <v>1962593.2561904762</v>
      </c>
      <c r="G1315" s="469">
        <f t="shared" si="121"/>
        <v>1988416.8516666666</v>
      </c>
      <c r="H1315" s="506">
        <f>+J1306*G1315+E1315</f>
        <v>349842.64372975874</v>
      </c>
      <c r="I1315" s="512">
        <f>+J1307*G1315+E1315</f>
        <v>349842.64372975874</v>
      </c>
      <c r="J1315" s="509">
        <f t="shared" si="122"/>
        <v>0</v>
      </c>
      <c r="K1315" s="509"/>
      <c r="L1315" s="513">
        <v>349175</v>
      </c>
      <c r="M1315" s="509">
        <f t="shared" si="123"/>
        <v>667.64372975873994</v>
      </c>
      <c r="N1315" s="513">
        <v>349175</v>
      </c>
      <c r="O1315" s="509">
        <f t="shared" si="124"/>
        <v>667.64372975873994</v>
      </c>
      <c r="P1315" s="509">
        <f t="shared" si="125"/>
        <v>0</v>
      </c>
      <c r="Q1315" s="471"/>
    </row>
    <row r="1316" spans="3:17">
      <c r="C1316" s="505">
        <f>IF(D1305="","-",+C1315+1)</f>
        <v>2020</v>
      </c>
      <c r="D1316" s="941">
        <f t="shared" si="126"/>
        <v>1962593.2561904762</v>
      </c>
      <c r="E1316" s="511">
        <f t="shared" si="127"/>
        <v>51647.190952380952</v>
      </c>
      <c r="F1316" s="511">
        <f t="shared" si="120"/>
        <v>1910946.0652380954</v>
      </c>
      <c r="G1316" s="469">
        <f t="shared" si="121"/>
        <v>1936769.6607142859</v>
      </c>
      <c r="H1316" s="506">
        <f>+J1306*G1316+E1316</f>
        <v>342097.30729398271</v>
      </c>
      <c r="I1316" s="512">
        <f>+J1307*G1316+E1316</f>
        <v>342097.30729398271</v>
      </c>
      <c r="J1316" s="509">
        <f t="shared" si="122"/>
        <v>0</v>
      </c>
      <c r="K1316" s="509"/>
      <c r="L1316" s="513">
        <v>336641.45787141309</v>
      </c>
      <c r="M1316" s="509">
        <f t="shared" si="123"/>
        <v>5455.8494225696195</v>
      </c>
      <c r="N1316" s="513">
        <v>336641.45787141309</v>
      </c>
      <c r="O1316" s="509">
        <f t="shared" si="124"/>
        <v>5455.8494225696195</v>
      </c>
      <c r="P1316" s="509">
        <f t="shared" si="125"/>
        <v>0</v>
      </c>
      <c r="Q1316" s="471"/>
    </row>
    <row r="1317" spans="3:17">
      <c r="C1317" s="505">
        <f>IF(D1305="","-",+C1316+1)</f>
        <v>2021</v>
      </c>
      <c r="D1317" s="941">
        <f t="shared" si="126"/>
        <v>1910946.0652380954</v>
      </c>
      <c r="E1317" s="511">
        <f t="shared" si="127"/>
        <v>51647.190952380952</v>
      </c>
      <c r="F1317" s="511">
        <f t="shared" si="120"/>
        <v>1859298.8742857145</v>
      </c>
      <c r="G1317" s="469">
        <f t="shared" si="121"/>
        <v>1885122.4697619048</v>
      </c>
      <c r="H1317" s="506">
        <f>+J1306*G1317+E1317</f>
        <v>334351.97085820668</v>
      </c>
      <c r="I1317" s="512">
        <f>+J1307*G1317+E1317</f>
        <v>334351.97085820668</v>
      </c>
      <c r="J1317" s="509">
        <f t="shared" si="122"/>
        <v>0</v>
      </c>
      <c r="K1317" s="509"/>
      <c r="L1317" s="513">
        <v>321383.23908881261</v>
      </c>
      <c r="M1317" s="509">
        <f t="shared" si="123"/>
        <v>12968.731769394071</v>
      </c>
      <c r="N1317" s="513">
        <v>321383.23908881261</v>
      </c>
      <c r="O1317" s="509">
        <f t="shared" si="124"/>
        <v>12968.731769394071</v>
      </c>
      <c r="P1317" s="509">
        <f t="shared" si="125"/>
        <v>0</v>
      </c>
      <c r="Q1317" s="471"/>
    </row>
    <row r="1318" spans="3:17">
      <c r="C1318" s="505">
        <f>IF(D1305="","-",+C1317+1)</f>
        <v>2022</v>
      </c>
      <c r="D1318" s="469">
        <f t="shared" si="126"/>
        <v>1859298.8742857145</v>
      </c>
      <c r="E1318" s="511">
        <f t="shared" si="127"/>
        <v>51647.190952380952</v>
      </c>
      <c r="F1318" s="511">
        <f t="shared" si="120"/>
        <v>1807651.6833333336</v>
      </c>
      <c r="G1318" s="469">
        <f t="shared" si="121"/>
        <v>1833475.2788095241</v>
      </c>
      <c r="H1318" s="506">
        <f>+J1306*G1318+E1318</f>
        <v>326606.63442243065</v>
      </c>
      <c r="I1318" s="512">
        <f>+J1307*G1318+E1318</f>
        <v>326606.63442243065</v>
      </c>
      <c r="J1318" s="509">
        <f t="shared" si="122"/>
        <v>0</v>
      </c>
      <c r="K1318" s="509"/>
      <c r="L1318" s="513">
        <v>315626.72775333875</v>
      </c>
      <c r="M1318" s="509">
        <f t="shared" si="123"/>
        <v>10979.906669091899</v>
      </c>
      <c r="N1318" s="513">
        <v>315626.72775333875</v>
      </c>
      <c r="O1318" s="509">
        <f t="shared" si="124"/>
        <v>10979.906669091899</v>
      </c>
      <c r="P1318" s="509">
        <f t="shared" si="125"/>
        <v>0</v>
      </c>
      <c r="Q1318" s="471"/>
    </row>
    <row r="1319" spans="3:17">
      <c r="C1319" s="505">
        <f>IF(D1305="","-",+C1318+1)</f>
        <v>2023</v>
      </c>
      <c r="D1319" s="469">
        <f t="shared" si="126"/>
        <v>1807651.6833333336</v>
      </c>
      <c r="E1319" s="511">
        <f t="shared" si="127"/>
        <v>51647.190952380952</v>
      </c>
      <c r="F1319" s="511">
        <f t="shared" si="120"/>
        <v>1756004.4923809527</v>
      </c>
      <c r="G1319" s="469">
        <f t="shared" si="121"/>
        <v>1781828.087857143</v>
      </c>
      <c r="H1319" s="506">
        <f>+J1306*G1319+E1319</f>
        <v>318861.29798665456</v>
      </c>
      <c r="I1319" s="512">
        <f>+J1307*G1319+E1319</f>
        <v>318861.29798665456</v>
      </c>
      <c r="J1319" s="509">
        <f t="shared" si="122"/>
        <v>0</v>
      </c>
      <c r="K1319" s="509"/>
      <c r="L1319" s="513">
        <v>320683.03484712128</v>
      </c>
      <c r="M1319" s="509">
        <f t="shared" si="123"/>
        <v>-1821.7368604667136</v>
      </c>
      <c r="N1319" s="513">
        <v>320683.03484712128</v>
      </c>
      <c r="O1319" s="509">
        <f t="shared" si="124"/>
        <v>-1821.7368604667136</v>
      </c>
      <c r="P1319" s="509">
        <f t="shared" si="125"/>
        <v>0</v>
      </c>
      <c r="Q1319" s="471"/>
    </row>
    <row r="1320" spans="3:17">
      <c r="C1320" s="963">
        <f>IF(D1305="","-",+C1319+1)</f>
        <v>2024</v>
      </c>
      <c r="D1320" s="469">
        <f t="shared" si="126"/>
        <v>1756004.4923809527</v>
      </c>
      <c r="E1320" s="511">
        <f t="shared" si="127"/>
        <v>51647.190952380952</v>
      </c>
      <c r="F1320" s="511">
        <f t="shared" si="120"/>
        <v>1704357.3014285718</v>
      </c>
      <c r="G1320" s="469">
        <f t="shared" si="121"/>
        <v>1730180.8969047624</v>
      </c>
      <c r="H1320" s="506">
        <f>+J1306*G1320+E1320</f>
        <v>311115.96155087859</v>
      </c>
      <c r="I1320" s="512">
        <f>+J1307*G1320+E1320</f>
        <v>311115.96155087859</v>
      </c>
      <c r="J1320" s="509">
        <f t="shared" si="122"/>
        <v>0</v>
      </c>
      <c r="K1320" s="509"/>
      <c r="L1320" s="513">
        <v>311609.42564369255</v>
      </c>
      <c r="M1320" s="509">
        <f t="shared" si="123"/>
        <v>-493.46409281395609</v>
      </c>
      <c r="N1320" s="513">
        <v>311609.42564369255</v>
      </c>
      <c r="O1320" s="509">
        <f t="shared" si="124"/>
        <v>-493.46409281395609</v>
      </c>
      <c r="P1320" s="509">
        <f t="shared" si="125"/>
        <v>0</v>
      </c>
      <c r="Q1320" s="471"/>
    </row>
    <row r="1321" spans="3:17">
      <c r="C1321" s="505">
        <f>IF(D1305="","-",+C1320+1)</f>
        <v>2025</v>
      </c>
      <c r="D1321" s="469">
        <f t="shared" si="126"/>
        <v>1704357.3014285718</v>
      </c>
      <c r="E1321" s="511">
        <f t="shared" si="127"/>
        <v>51647.190952380952</v>
      </c>
      <c r="F1321" s="511">
        <f t="shared" si="120"/>
        <v>1652710.1104761909</v>
      </c>
      <c r="G1321" s="469">
        <f t="shared" si="121"/>
        <v>1678533.7059523812</v>
      </c>
      <c r="H1321" s="506">
        <f>+J1306*G1321+E1321</f>
        <v>303370.62511510251</v>
      </c>
      <c r="I1321" s="512">
        <f>+J1307*G1321+E1321</f>
        <v>303370.62511510251</v>
      </c>
      <c r="J1321" s="509">
        <f t="shared" si="122"/>
        <v>0</v>
      </c>
      <c r="K1321" s="509"/>
      <c r="L1321" s="513">
        <v>295005.79722750559</v>
      </c>
      <c r="M1321" s="509">
        <f t="shared" si="123"/>
        <v>8364.8278875969118</v>
      </c>
      <c r="N1321" s="513">
        <v>295005.79722750559</v>
      </c>
      <c r="O1321" s="509">
        <f t="shared" si="124"/>
        <v>8364.8278875969118</v>
      </c>
      <c r="P1321" s="509">
        <f t="shared" si="125"/>
        <v>0</v>
      </c>
      <c r="Q1321" s="471"/>
    </row>
    <row r="1322" spans="3:17">
      <c r="C1322" s="505">
        <f>IF(D1305="","-",+C1321+1)</f>
        <v>2026</v>
      </c>
      <c r="D1322" s="469">
        <f t="shared" si="126"/>
        <v>1652710.1104761909</v>
      </c>
      <c r="E1322" s="511">
        <f t="shared" si="127"/>
        <v>51647.190952380952</v>
      </c>
      <c r="F1322" s="511">
        <f t="shared" si="120"/>
        <v>1601062.91952381</v>
      </c>
      <c r="G1322" s="469">
        <f t="shared" si="121"/>
        <v>1626886.5150000006</v>
      </c>
      <c r="H1322" s="506">
        <f>+J1306*G1322+E1322</f>
        <v>295625.28867932654</v>
      </c>
      <c r="I1322" s="512">
        <f>+J1307*G1322+E1322</f>
        <v>295625.28867932654</v>
      </c>
      <c r="J1322" s="509">
        <f t="shared" si="122"/>
        <v>0</v>
      </c>
      <c r="K1322" s="509"/>
      <c r="L1322" s="513"/>
      <c r="M1322" s="509">
        <f t="shared" si="123"/>
        <v>0</v>
      </c>
      <c r="N1322" s="513"/>
      <c r="O1322" s="509">
        <f t="shared" si="124"/>
        <v>0</v>
      </c>
      <c r="P1322" s="509">
        <f t="shared" si="125"/>
        <v>0</v>
      </c>
      <c r="Q1322" s="471"/>
    </row>
    <row r="1323" spans="3:17">
      <c r="C1323" s="505">
        <f>IF(D1305="","-",+C1322+1)</f>
        <v>2027</v>
      </c>
      <c r="D1323" s="469">
        <f t="shared" si="126"/>
        <v>1601062.91952381</v>
      </c>
      <c r="E1323" s="511">
        <f t="shared" si="127"/>
        <v>51647.190952380952</v>
      </c>
      <c r="F1323" s="511">
        <f t="shared" si="120"/>
        <v>1549415.7285714292</v>
      </c>
      <c r="G1323" s="469">
        <f t="shared" si="121"/>
        <v>1575239.3240476195</v>
      </c>
      <c r="H1323" s="506">
        <f>+J1306*G1323+E1323</f>
        <v>287879.95224355045</v>
      </c>
      <c r="I1323" s="512">
        <f>+J1307*G1323+E1323</f>
        <v>287879.95224355045</v>
      </c>
      <c r="J1323" s="509">
        <f t="shared" si="122"/>
        <v>0</v>
      </c>
      <c r="K1323" s="509"/>
      <c r="L1323" s="513"/>
      <c r="M1323" s="509">
        <f t="shared" si="123"/>
        <v>0</v>
      </c>
      <c r="N1323" s="513"/>
      <c r="O1323" s="509">
        <f t="shared" si="124"/>
        <v>0</v>
      </c>
      <c r="P1323" s="509">
        <f t="shared" si="125"/>
        <v>0</v>
      </c>
      <c r="Q1323" s="471"/>
    </row>
    <row r="1324" spans="3:17">
      <c r="C1324" s="505">
        <f>IF(D1305="","-",+C1323+1)</f>
        <v>2028</v>
      </c>
      <c r="D1324" s="469">
        <f t="shared" si="126"/>
        <v>1549415.7285714292</v>
      </c>
      <c r="E1324" s="511">
        <f t="shared" si="127"/>
        <v>51647.190952380952</v>
      </c>
      <c r="F1324" s="511">
        <f t="shared" si="120"/>
        <v>1497768.5376190483</v>
      </c>
      <c r="G1324" s="469">
        <f t="shared" si="121"/>
        <v>1523592.1330952388</v>
      </c>
      <c r="H1324" s="506">
        <f>+J1306*G1324+E1324</f>
        <v>280134.61580777442</v>
      </c>
      <c r="I1324" s="512">
        <f>+J1307*G1324+E1324</f>
        <v>280134.61580777442</v>
      </c>
      <c r="J1324" s="509">
        <f t="shared" si="122"/>
        <v>0</v>
      </c>
      <c r="K1324" s="509"/>
      <c r="L1324" s="513"/>
      <c r="M1324" s="509">
        <f t="shared" si="123"/>
        <v>0</v>
      </c>
      <c r="N1324" s="513"/>
      <c r="O1324" s="509">
        <f t="shared" si="124"/>
        <v>0</v>
      </c>
      <c r="P1324" s="509">
        <f t="shared" si="125"/>
        <v>0</v>
      </c>
      <c r="Q1324" s="471"/>
    </row>
    <row r="1325" spans="3:17">
      <c r="C1325" s="505">
        <f>IF(D1305="","-",+C1324+1)</f>
        <v>2029</v>
      </c>
      <c r="D1325" s="469">
        <f t="shared" si="126"/>
        <v>1497768.5376190483</v>
      </c>
      <c r="E1325" s="511">
        <f t="shared" si="127"/>
        <v>51647.190952380952</v>
      </c>
      <c r="F1325" s="511">
        <f t="shared" si="120"/>
        <v>1446121.3466666674</v>
      </c>
      <c r="G1325" s="469">
        <f t="shared" si="121"/>
        <v>1471944.9421428577</v>
      </c>
      <c r="H1325" s="506">
        <f>+J1306*G1325+E1325</f>
        <v>272389.27937199839</v>
      </c>
      <c r="I1325" s="512">
        <f>+J1307*G1325+E1325</f>
        <v>272389.27937199839</v>
      </c>
      <c r="J1325" s="509">
        <f t="shared" si="122"/>
        <v>0</v>
      </c>
      <c r="K1325" s="509"/>
      <c r="L1325" s="513"/>
      <c r="M1325" s="509">
        <f t="shared" si="123"/>
        <v>0</v>
      </c>
      <c r="N1325" s="513"/>
      <c r="O1325" s="509">
        <f t="shared" si="124"/>
        <v>0</v>
      </c>
      <c r="P1325" s="509">
        <f t="shared" si="125"/>
        <v>0</v>
      </c>
      <c r="Q1325" s="471"/>
    </row>
    <row r="1326" spans="3:17">
      <c r="C1326" s="505">
        <f>IF(D1305="","-",+C1325+1)</f>
        <v>2030</v>
      </c>
      <c r="D1326" s="469">
        <f t="shared" si="126"/>
        <v>1446121.3466666674</v>
      </c>
      <c r="E1326" s="511">
        <f t="shared" si="127"/>
        <v>51647.190952380952</v>
      </c>
      <c r="F1326" s="511">
        <f t="shared" si="120"/>
        <v>1394474.1557142865</v>
      </c>
      <c r="G1326" s="469">
        <f t="shared" si="121"/>
        <v>1420297.7511904771</v>
      </c>
      <c r="H1326" s="506">
        <f>+J1306*G1326+E1326</f>
        <v>264643.94293622236</v>
      </c>
      <c r="I1326" s="512">
        <f>+J1307*G1326+E1326</f>
        <v>264643.94293622236</v>
      </c>
      <c r="J1326" s="509">
        <f t="shared" si="122"/>
        <v>0</v>
      </c>
      <c r="K1326" s="509"/>
      <c r="L1326" s="513"/>
      <c r="M1326" s="509">
        <f t="shared" si="123"/>
        <v>0</v>
      </c>
      <c r="N1326" s="513"/>
      <c r="O1326" s="509">
        <f t="shared" si="124"/>
        <v>0</v>
      </c>
      <c r="P1326" s="509">
        <f t="shared" si="125"/>
        <v>0</v>
      </c>
      <c r="Q1326" s="471"/>
    </row>
    <row r="1327" spans="3:17">
      <c r="C1327" s="505">
        <f>IF(D1305="","-",+C1326+1)</f>
        <v>2031</v>
      </c>
      <c r="D1327" s="469">
        <f t="shared" si="126"/>
        <v>1394474.1557142865</v>
      </c>
      <c r="E1327" s="511">
        <f t="shared" si="127"/>
        <v>51647.190952380952</v>
      </c>
      <c r="F1327" s="511">
        <f t="shared" si="120"/>
        <v>1342826.9647619056</v>
      </c>
      <c r="G1327" s="469">
        <f t="shared" si="121"/>
        <v>1368650.5602380959</v>
      </c>
      <c r="H1327" s="506">
        <f>+J1306*G1327+E1327</f>
        <v>256898.6065004463</v>
      </c>
      <c r="I1327" s="512">
        <f>+J1307*G1327+E1327</f>
        <v>256898.6065004463</v>
      </c>
      <c r="J1327" s="509">
        <f t="shared" si="122"/>
        <v>0</v>
      </c>
      <c r="K1327" s="509"/>
      <c r="L1327" s="513"/>
      <c r="M1327" s="509">
        <f t="shared" si="123"/>
        <v>0</v>
      </c>
      <c r="N1327" s="513"/>
      <c r="O1327" s="509">
        <f t="shared" si="124"/>
        <v>0</v>
      </c>
      <c r="P1327" s="509">
        <f t="shared" si="125"/>
        <v>0</v>
      </c>
      <c r="Q1327" s="471"/>
    </row>
    <row r="1328" spans="3:17">
      <c r="C1328" s="505">
        <f>IF(D1305="","-",+C1327+1)</f>
        <v>2032</v>
      </c>
      <c r="D1328" s="469">
        <f t="shared" si="126"/>
        <v>1342826.9647619056</v>
      </c>
      <c r="E1328" s="511">
        <f t="shared" si="127"/>
        <v>51647.190952380952</v>
      </c>
      <c r="F1328" s="511">
        <f t="shared" si="120"/>
        <v>1291179.7738095247</v>
      </c>
      <c r="G1328" s="469">
        <f t="shared" si="121"/>
        <v>1317003.3692857153</v>
      </c>
      <c r="H1328" s="506">
        <f>+J1306*G1328+E1328</f>
        <v>249153.27006467027</v>
      </c>
      <c r="I1328" s="512">
        <f>+J1307*G1328+E1328</f>
        <v>249153.27006467027</v>
      </c>
      <c r="J1328" s="509">
        <f t="shared" si="122"/>
        <v>0</v>
      </c>
      <c r="K1328" s="509"/>
      <c r="L1328" s="513"/>
      <c r="M1328" s="509">
        <f t="shared" si="123"/>
        <v>0</v>
      </c>
      <c r="N1328" s="513"/>
      <c r="O1328" s="509">
        <f t="shared" si="124"/>
        <v>0</v>
      </c>
      <c r="P1328" s="509">
        <f t="shared" si="125"/>
        <v>0</v>
      </c>
      <c r="Q1328" s="471"/>
    </row>
    <row r="1329" spans="3:17">
      <c r="C1329" s="505">
        <f>IF(D1305="","-",+C1328+1)</f>
        <v>2033</v>
      </c>
      <c r="D1329" s="469">
        <f t="shared" si="126"/>
        <v>1291179.7738095247</v>
      </c>
      <c r="E1329" s="511">
        <f t="shared" si="127"/>
        <v>51647.190952380952</v>
      </c>
      <c r="F1329" s="511">
        <f t="shared" si="120"/>
        <v>1239532.5828571438</v>
      </c>
      <c r="G1329" s="469">
        <f t="shared" si="121"/>
        <v>1265356.1783333342</v>
      </c>
      <c r="H1329" s="506">
        <f>+J1306*G1329+E1329</f>
        <v>241407.93362889421</v>
      </c>
      <c r="I1329" s="512">
        <f>+J1307*G1329+E1329</f>
        <v>241407.93362889421</v>
      </c>
      <c r="J1329" s="509">
        <f t="shared" si="122"/>
        <v>0</v>
      </c>
      <c r="K1329" s="509"/>
      <c r="L1329" s="513"/>
      <c r="M1329" s="509">
        <f t="shared" si="123"/>
        <v>0</v>
      </c>
      <c r="N1329" s="513"/>
      <c r="O1329" s="509">
        <f t="shared" si="124"/>
        <v>0</v>
      </c>
      <c r="P1329" s="509">
        <f t="shared" si="125"/>
        <v>0</v>
      </c>
      <c r="Q1329" s="471"/>
    </row>
    <row r="1330" spans="3:17">
      <c r="C1330" s="505">
        <f>IF(D1305="","-",+C1329+1)</f>
        <v>2034</v>
      </c>
      <c r="D1330" s="469">
        <f t="shared" si="126"/>
        <v>1239532.5828571438</v>
      </c>
      <c r="E1330" s="511">
        <f t="shared" si="127"/>
        <v>51647.190952380952</v>
      </c>
      <c r="F1330" s="511">
        <f t="shared" si="120"/>
        <v>1187885.3919047629</v>
      </c>
      <c r="G1330" s="469">
        <f t="shared" si="121"/>
        <v>1213708.9873809535</v>
      </c>
      <c r="H1330" s="506">
        <f>+J1306*G1330+E1330</f>
        <v>233662.59719311821</v>
      </c>
      <c r="I1330" s="512">
        <f>+J1307*G1330+E1330</f>
        <v>233662.59719311821</v>
      </c>
      <c r="J1330" s="509">
        <f t="shared" si="122"/>
        <v>0</v>
      </c>
      <c r="K1330" s="509"/>
      <c r="L1330" s="513"/>
      <c r="M1330" s="509">
        <f t="shared" si="123"/>
        <v>0</v>
      </c>
      <c r="N1330" s="513"/>
      <c r="O1330" s="509">
        <f t="shared" si="124"/>
        <v>0</v>
      </c>
      <c r="P1330" s="509">
        <f t="shared" si="125"/>
        <v>0</v>
      </c>
      <c r="Q1330" s="471"/>
    </row>
    <row r="1331" spans="3:17">
      <c r="C1331" s="505">
        <f>IF(D1305="","-",+C1330+1)</f>
        <v>2035</v>
      </c>
      <c r="D1331" s="469">
        <f t="shared" si="126"/>
        <v>1187885.3919047629</v>
      </c>
      <c r="E1331" s="511">
        <f t="shared" si="127"/>
        <v>51647.190952380952</v>
      </c>
      <c r="F1331" s="511">
        <f t="shared" si="120"/>
        <v>1136238.2009523821</v>
      </c>
      <c r="G1331" s="469">
        <f t="shared" si="121"/>
        <v>1162061.7964285724</v>
      </c>
      <c r="H1331" s="506">
        <f>+J1306*G1331+E1331</f>
        <v>225917.26075734213</v>
      </c>
      <c r="I1331" s="512">
        <f>+J1307*G1331+E1331</f>
        <v>225917.26075734213</v>
      </c>
      <c r="J1331" s="509">
        <f t="shared" si="122"/>
        <v>0</v>
      </c>
      <c r="K1331" s="509"/>
      <c r="L1331" s="513"/>
      <c r="M1331" s="509">
        <f t="shared" si="123"/>
        <v>0</v>
      </c>
      <c r="N1331" s="513"/>
      <c r="O1331" s="509">
        <f t="shared" si="124"/>
        <v>0</v>
      </c>
      <c r="P1331" s="509">
        <f t="shared" si="125"/>
        <v>0</v>
      </c>
      <c r="Q1331" s="471"/>
    </row>
    <row r="1332" spans="3:17">
      <c r="C1332" s="505">
        <f>IF(D1305="","-",+C1331+1)</f>
        <v>2036</v>
      </c>
      <c r="D1332" s="469">
        <f t="shared" si="126"/>
        <v>1136238.2009523821</v>
      </c>
      <c r="E1332" s="511">
        <f t="shared" si="127"/>
        <v>51647.190952380952</v>
      </c>
      <c r="F1332" s="511">
        <f t="shared" si="120"/>
        <v>1084591.0100000012</v>
      </c>
      <c r="G1332" s="469">
        <f t="shared" si="121"/>
        <v>1110414.6054761917</v>
      </c>
      <c r="H1332" s="506">
        <f>+J1306*G1332+E1332</f>
        <v>218171.92432156613</v>
      </c>
      <c r="I1332" s="512">
        <f>+J1307*G1332+E1332</f>
        <v>218171.92432156613</v>
      </c>
      <c r="J1332" s="509">
        <f t="shared" si="122"/>
        <v>0</v>
      </c>
      <c r="K1332" s="509"/>
      <c r="L1332" s="513"/>
      <c r="M1332" s="509">
        <f t="shared" si="123"/>
        <v>0</v>
      </c>
      <c r="N1332" s="513"/>
      <c r="O1332" s="509">
        <f t="shared" si="124"/>
        <v>0</v>
      </c>
      <c r="P1332" s="509">
        <f t="shared" si="125"/>
        <v>0</v>
      </c>
      <c r="Q1332" s="471"/>
    </row>
    <row r="1333" spans="3:17">
      <c r="C1333" s="505">
        <f>IF(D1305="","-",+C1332+1)</f>
        <v>2037</v>
      </c>
      <c r="D1333" s="469">
        <f t="shared" si="126"/>
        <v>1084591.0100000012</v>
      </c>
      <c r="E1333" s="511">
        <f t="shared" si="127"/>
        <v>51647.190952380952</v>
      </c>
      <c r="F1333" s="511">
        <f t="shared" si="120"/>
        <v>1032943.8190476202</v>
      </c>
      <c r="G1333" s="469">
        <f t="shared" si="121"/>
        <v>1058767.4145238106</v>
      </c>
      <c r="H1333" s="506">
        <f>+J1306*G1333+E1333</f>
        <v>210426.58788579007</v>
      </c>
      <c r="I1333" s="512">
        <f>+J1307*G1333+E1333</f>
        <v>210426.58788579007</v>
      </c>
      <c r="J1333" s="509">
        <f t="shared" si="122"/>
        <v>0</v>
      </c>
      <c r="K1333" s="509"/>
      <c r="L1333" s="513"/>
      <c r="M1333" s="509">
        <f t="shared" si="123"/>
        <v>0</v>
      </c>
      <c r="N1333" s="513"/>
      <c r="O1333" s="509">
        <f t="shared" si="124"/>
        <v>0</v>
      </c>
      <c r="P1333" s="509">
        <f t="shared" si="125"/>
        <v>0</v>
      </c>
      <c r="Q1333" s="471"/>
    </row>
    <row r="1334" spans="3:17">
      <c r="C1334" s="505">
        <f>IF(D1305="","-",+C1333+1)</f>
        <v>2038</v>
      </c>
      <c r="D1334" s="469">
        <f t="shared" si="126"/>
        <v>1032943.8190476202</v>
      </c>
      <c r="E1334" s="511">
        <f t="shared" si="127"/>
        <v>51647.190952380952</v>
      </c>
      <c r="F1334" s="511">
        <f t="shared" si="120"/>
        <v>981296.62809523917</v>
      </c>
      <c r="G1334" s="469">
        <f t="shared" si="121"/>
        <v>1007120.2235714297</v>
      </c>
      <c r="H1334" s="506">
        <f>+J1306*G1334+E1334</f>
        <v>202681.25145001404</v>
      </c>
      <c r="I1334" s="512">
        <f>+J1307*G1334+E1334</f>
        <v>202681.25145001404</v>
      </c>
      <c r="J1334" s="509">
        <f t="shared" si="122"/>
        <v>0</v>
      </c>
      <c r="K1334" s="509"/>
      <c r="L1334" s="513"/>
      <c r="M1334" s="509">
        <f t="shared" si="123"/>
        <v>0</v>
      </c>
      <c r="N1334" s="513"/>
      <c r="O1334" s="509">
        <f t="shared" si="124"/>
        <v>0</v>
      </c>
      <c r="P1334" s="509">
        <f t="shared" si="125"/>
        <v>0</v>
      </c>
      <c r="Q1334" s="471"/>
    </row>
    <row r="1335" spans="3:17">
      <c r="C1335" s="505">
        <f>IF(D1305="","-",+C1334+1)</f>
        <v>2039</v>
      </c>
      <c r="D1335" s="469">
        <f t="shared" si="126"/>
        <v>981296.62809523917</v>
      </c>
      <c r="E1335" s="511">
        <f t="shared" si="127"/>
        <v>51647.190952380952</v>
      </c>
      <c r="F1335" s="511">
        <f t="shared" si="120"/>
        <v>929649.43714285817</v>
      </c>
      <c r="G1335" s="469">
        <f t="shared" si="121"/>
        <v>955473.03261904861</v>
      </c>
      <c r="H1335" s="506">
        <f>+J1306*G1335+E1335</f>
        <v>194935.91501423795</v>
      </c>
      <c r="I1335" s="512">
        <f>+J1307*G1335+E1335</f>
        <v>194935.91501423795</v>
      </c>
      <c r="J1335" s="509">
        <f t="shared" si="122"/>
        <v>0</v>
      </c>
      <c r="K1335" s="509"/>
      <c r="L1335" s="513"/>
      <c r="M1335" s="509">
        <f t="shared" si="123"/>
        <v>0</v>
      </c>
      <c r="N1335" s="513"/>
      <c r="O1335" s="509">
        <f t="shared" si="124"/>
        <v>0</v>
      </c>
      <c r="P1335" s="509">
        <f t="shared" si="125"/>
        <v>0</v>
      </c>
      <c r="Q1335" s="471"/>
    </row>
    <row r="1336" spans="3:17">
      <c r="C1336" s="505">
        <f>IF(D1305="","-",+C1335+1)</f>
        <v>2040</v>
      </c>
      <c r="D1336" s="469">
        <f t="shared" si="126"/>
        <v>929649.43714285817</v>
      </c>
      <c r="E1336" s="511">
        <f t="shared" si="127"/>
        <v>51647.190952380952</v>
      </c>
      <c r="F1336" s="511">
        <f t="shared" si="120"/>
        <v>878002.24619047716</v>
      </c>
      <c r="G1336" s="469">
        <f t="shared" si="121"/>
        <v>903825.84166666772</v>
      </c>
      <c r="H1336" s="506">
        <f>+J1306*G1336+E1336</f>
        <v>187190.57857846192</v>
      </c>
      <c r="I1336" s="512">
        <f>+J1307*G1336+E1336</f>
        <v>187190.57857846192</v>
      </c>
      <c r="J1336" s="509">
        <f t="shared" si="122"/>
        <v>0</v>
      </c>
      <c r="K1336" s="509"/>
      <c r="L1336" s="513"/>
      <c r="M1336" s="509">
        <f t="shared" si="123"/>
        <v>0</v>
      </c>
      <c r="N1336" s="513"/>
      <c r="O1336" s="509">
        <f t="shared" si="124"/>
        <v>0</v>
      </c>
      <c r="P1336" s="509">
        <f t="shared" si="125"/>
        <v>0</v>
      </c>
      <c r="Q1336" s="471"/>
    </row>
    <row r="1337" spans="3:17">
      <c r="C1337" s="505">
        <f>IF(D1305="","-",+C1336+1)</f>
        <v>2041</v>
      </c>
      <c r="D1337" s="469">
        <f t="shared" si="126"/>
        <v>878002.24619047716</v>
      </c>
      <c r="E1337" s="511">
        <f t="shared" si="127"/>
        <v>51647.190952380952</v>
      </c>
      <c r="F1337" s="511">
        <f t="shared" si="120"/>
        <v>826355.05523809616</v>
      </c>
      <c r="G1337" s="469">
        <f t="shared" si="121"/>
        <v>852178.6507142866</v>
      </c>
      <c r="H1337" s="506">
        <f>+J1306*G1337+E1337</f>
        <v>179445.24214268586</v>
      </c>
      <c r="I1337" s="512">
        <f>+J1307*G1337+E1337</f>
        <v>179445.24214268586</v>
      </c>
      <c r="J1337" s="509">
        <f t="shared" si="122"/>
        <v>0</v>
      </c>
      <c r="K1337" s="509"/>
      <c r="L1337" s="513"/>
      <c r="M1337" s="509">
        <f t="shared" si="123"/>
        <v>0</v>
      </c>
      <c r="N1337" s="513"/>
      <c r="O1337" s="509">
        <f t="shared" si="124"/>
        <v>0</v>
      </c>
      <c r="P1337" s="509">
        <f t="shared" si="125"/>
        <v>0</v>
      </c>
      <c r="Q1337" s="471"/>
    </row>
    <row r="1338" spans="3:17">
      <c r="C1338" s="505">
        <f>IF(D1305="","-",+C1337+1)</f>
        <v>2042</v>
      </c>
      <c r="D1338" s="469">
        <f t="shared" si="126"/>
        <v>826355.05523809616</v>
      </c>
      <c r="E1338" s="511">
        <f t="shared" si="127"/>
        <v>51647.190952380952</v>
      </c>
      <c r="F1338" s="511">
        <f t="shared" si="120"/>
        <v>774707.86428571516</v>
      </c>
      <c r="G1338" s="469">
        <f t="shared" si="121"/>
        <v>800531.45976190572</v>
      </c>
      <c r="H1338" s="506">
        <f>+J1306*G1338+E1338</f>
        <v>171699.90570690981</v>
      </c>
      <c r="I1338" s="512">
        <f>+J1307*G1338+E1338</f>
        <v>171699.90570690981</v>
      </c>
      <c r="J1338" s="509">
        <f t="shared" si="122"/>
        <v>0</v>
      </c>
      <c r="K1338" s="509"/>
      <c r="L1338" s="513"/>
      <c r="M1338" s="509">
        <f t="shared" si="123"/>
        <v>0</v>
      </c>
      <c r="N1338" s="513"/>
      <c r="O1338" s="509">
        <f t="shared" si="124"/>
        <v>0</v>
      </c>
      <c r="P1338" s="509">
        <f t="shared" si="125"/>
        <v>0</v>
      </c>
      <c r="Q1338" s="471"/>
    </row>
    <row r="1339" spans="3:17">
      <c r="C1339" s="505">
        <f>IF(D1305="","-",+C1338+1)</f>
        <v>2043</v>
      </c>
      <c r="D1339" s="469">
        <f t="shared" si="126"/>
        <v>774707.86428571516</v>
      </c>
      <c r="E1339" s="511">
        <f t="shared" si="127"/>
        <v>51647.190952380952</v>
      </c>
      <c r="F1339" s="511">
        <f t="shared" si="120"/>
        <v>723060.67333333415</v>
      </c>
      <c r="G1339" s="469">
        <f t="shared" si="121"/>
        <v>748884.2688095246</v>
      </c>
      <c r="H1339" s="506">
        <f>+J1306*G1339+E1339</f>
        <v>163954.56927113375</v>
      </c>
      <c r="I1339" s="512">
        <f>+J1307*G1339+E1339</f>
        <v>163954.56927113375</v>
      </c>
      <c r="J1339" s="509">
        <f t="shared" si="122"/>
        <v>0</v>
      </c>
      <c r="K1339" s="509"/>
      <c r="L1339" s="513"/>
      <c r="M1339" s="509">
        <f t="shared" si="123"/>
        <v>0</v>
      </c>
      <c r="N1339" s="513"/>
      <c r="O1339" s="509">
        <f t="shared" si="124"/>
        <v>0</v>
      </c>
      <c r="P1339" s="509">
        <f t="shared" si="125"/>
        <v>0</v>
      </c>
      <c r="Q1339" s="471"/>
    </row>
    <row r="1340" spans="3:17">
      <c r="C1340" s="505">
        <f>IF(D1305="","-",+C1339+1)</f>
        <v>2044</v>
      </c>
      <c r="D1340" s="469">
        <f t="shared" si="126"/>
        <v>723060.67333333415</v>
      </c>
      <c r="E1340" s="511">
        <f t="shared" si="127"/>
        <v>51647.190952380952</v>
      </c>
      <c r="F1340" s="511">
        <f t="shared" si="120"/>
        <v>671413.48238095315</v>
      </c>
      <c r="G1340" s="469">
        <f t="shared" si="121"/>
        <v>697237.07785714371</v>
      </c>
      <c r="H1340" s="506">
        <f>+J1306*G1340+E1340</f>
        <v>156209.23283535772</v>
      </c>
      <c r="I1340" s="512">
        <f>+J1307*G1340+E1340</f>
        <v>156209.23283535772</v>
      </c>
      <c r="J1340" s="509">
        <f t="shared" si="122"/>
        <v>0</v>
      </c>
      <c r="K1340" s="509"/>
      <c r="L1340" s="513"/>
      <c r="M1340" s="509">
        <f t="shared" si="123"/>
        <v>0</v>
      </c>
      <c r="N1340" s="513"/>
      <c r="O1340" s="509">
        <f t="shared" si="124"/>
        <v>0</v>
      </c>
      <c r="P1340" s="509">
        <f t="shared" si="125"/>
        <v>0</v>
      </c>
      <c r="Q1340" s="471"/>
    </row>
    <row r="1341" spans="3:17">
      <c r="C1341" s="505">
        <f>IF(D1305="","-",+C1340+1)</f>
        <v>2045</v>
      </c>
      <c r="D1341" s="469">
        <f t="shared" si="126"/>
        <v>671413.48238095315</v>
      </c>
      <c r="E1341" s="511">
        <f t="shared" si="127"/>
        <v>51647.190952380952</v>
      </c>
      <c r="F1341" s="511">
        <f t="shared" si="120"/>
        <v>619766.29142857215</v>
      </c>
      <c r="G1341" s="469">
        <f t="shared" si="121"/>
        <v>645589.88690476259</v>
      </c>
      <c r="H1341" s="506">
        <f>+J1306*G1341+E1341</f>
        <v>148463.89639958163</v>
      </c>
      <c r="I1341" s="512">
        <f>+J1307*G1341+E1341</f>
        <v>148463.89639958163</v>
      </c>
      <c r="J1341" s="509">
        <f t="shared" si="122"/>
        <v>0</v>
      </c>
      <c r="K1341" s="509"/>
      <c r="L1341" s="513"/>
      <c r="M1341" s="509">
        <f t="shared" si="123"/>
        <v>0</v>
      </c>
      <c r="N1341" s="513"/>
      <c r="O1341" s="509">
        <f t="shared" si="124"/>
        <v>0</v>
      </c>
      <c r="P1341" s="509">
        <f t="shared" si="125"/>
        <v>0</v>
      </c>
      <c r="Q1341" s="471"/>
    </row>
    <row r="1342" spans="3:17">
      <c r="C1342" s="505">
        <f>IF(D1305="","-",+C1341+1)</f>
        <v>2046</v>
      </c>
      <c r="D1342" s="469">
        <f t="shared" si="126"/>
        <v>619766.29142857215</v>
      </c>
      <c r="E1342" s="511">
        <f t="shared" si="127"/>
        <v>51647.190952380952</v>
      </c>
      <c r="F1342" s="511">
        <f t="shared" si="120"/>
        <v>568119.10047619115</v>
      </c>
      <c r="G1342" s="469">
        <f t="shared" si="121"/>
        <v>593942.69595238171</v>
      </c>
      <c r="H1342" s="506">
        <f>+J1306*G1342+E1342</f>
        <v>140718.5599638056</v>
      </c>
      <c r="I1342" s="512">
        <f>+J1307*G1342+E1342</f>
        <v>140718.5599638056</v>
      </c>
      <c r="J1342" s="509">
        <f t="shared" si="122"/>
        <v>0</v>
      </c>
      <c r="K1342" s="509"/>
      <c r="L1342" s="513"/>
      <c r="M1342" s="509">
        <f t="shared" si="123"/>
        <v>0</v>
      </c>
      <c r="N1342" s="513"/>
      <c r="O1342" s="509">
        <f t="shared" si="124"/>
        <v>0</v>
      </c>
      <c r="P1342" s="509">
        <f t="shared" si="125"/>
        <v>0</v>
      </c>
      <c r="Q1342" s="471"/>
    </row>
    <row r="1343" spans="3:17">
      <c r="C1343" s="505">
        <f>IF(D1305="","-",+C1342+1)</f>
        <v>2047</v>
      </c>
      <c r="D1343" s="469">
        <f t="shared" si="126"/>
        <v>568119.10047619115</v>
      </c>
      <c r="E1343" s="511">
        <f t="shared" si="127"/>
        <v>51647.190952380952</v>
      </c>
      <c r="F1343" s="511">
        <f t="shared" si="120"/>
        <v>516471.9095238102</v>
      </c>
      <c r="G1343" s="469">
        <f t="shared" si="121"/>
        <v>542295.5050000007</v>
      </c>
      <c r="H1343" s="506">
        <f>+J1306*G1343+E1343</f>
        <v>132973.22352802954</v>
      </c>
      <c r="I1343" s="512">
        <f>+J1307*G1343+E1343</f>
        <v>132973.22352802954</v>
      </c>
      <c r="J1343" s="509">
        <f t="shared" si="122"/>
        <v>0</v>
      </c>
      <c r="K1343" s="509"/>
      <c r="L1343" s="513"/>
      <c r="M1343" s="509">
        <f t="shared" si="123"/>
        <v>0</v>
      </c>
      <c r="N1343" s="513"/>
      <c r="O1343" s="509">
        <f t="shared" si="124"/>
        <v>0</v>
      </c>
      <c r="P1343" s="509">
        <f t="shared" si="125"/>
        <v>0</v>
      </c>
      <c r="Q1343" s="471"/>
    </row>
    <row r="1344" spans="3:17">
      <c r="C1344" s="505">
        <f>IF(D1305="","-",+C1343+1)</f>
        <v>2048</v>
      </c>
      <c r="D1344" s="469">
        <f t="shared" si="126"/>
        <v>516471.9095238102</v>
      </c>
      <c r="E1344" s="511">
        <f t="shared" si="127"/>
        <v>51647.190952380952</v>
      </c>
      <c r="F1344" s="511">
        <f t="shared" si="120"/>
        <v>464824.71857142926</v>
      </c>
      <c r="G1344" s="469">
        <f t="shared" si="121"/>
        <v>490648.3140476197</v>
      </c>
      <c r="H1344" s="506">
        <f>+J1306*G1344+E1344</f>
        <v>125227.88709225348</v>
      </c>
      <c r="I1344" s="512">
        <f>+J1307*G1344+E1344</f>
        <v>125227.88709225348</v>
      </c>
      <c r="J1344" s="509">
        <f t="shared" si="122"/>
        <v>0</v>
      </c>
      <c r="K1344" s="509"/>
      <c r="L1344" s="513"/>
      <c r="M1344" s="509">
        <f t="shared" si="123"/>
        <v>0</v>
      </c>
      <c r="N1344" s="513"/>
      <c r="O1344" s="509">
        <f t="shared" si="124"/>
        <v>0</v>
      </c>
      <c r="P1344" s="509">
        <f t="shared" si="125"/>
        <v>0</v>
      </c>
      <c r="Q1344" s="471"/>
    </row>
    <row r="1345" spans="3:17">
      <c r="C1345" s="505">
        <f>IF(D1305="","-",+C1344+1)</f>
        <v>2049</v>
      </c>
      <c r="D1345" s="469">
        <f t="shared" si="126"/>
        <v>464824.71857142926</v>
      </c>
      <c r="E1345" s="511">
        <f t="shared" si="127"/>
        <v>51647.190952380952</v>
      </c>
      <c r="F1345" s="511">
        <f t="shared" si="120"/>
        <v>413177.52761904831</v>
      </c>
      <c r="G1345" s="469">
        <f t="shared" si="121"/>
        <v>439001.12309523881</v>
      </c>
      <c r="H1345" s="506">
        <f>+J1306*G1345+E1345</f>
        <v>117482.55065647746</v>
      </c>
      <c r="I1345" s="512">
        <f>+J1307*G1345+E1345</f>
        <v>117482.55065647746</v>
      </c>
      <c r="J1345" s="509">
        <f t="shared" si="122"/>
        <v>0</v>
      </c>
      <c r="K1345" s="509"/>
      <c r="L1345" s="513"/>
      <c r="M1345" s="509">
        <f t="shared" si="123"/>
        <v>0</v>
      </c>
      <c r="N1345" s="513"/>
      <c r="O1345" s="509">
        <f t="shared" si="124"/>
        <v>0</v>
      </c>
      <c r="P1345" s="509">
        <f t="shared" si="125"/>
        <v>0</v>
      </c>
      <c r="Q1345" s="471"/>
    </row>
    <row r="1346" spans="3:17">
      <c r="C1346" s="505">
        <f>IF(D1305="","-",+C1345+1)</f>
        <v>2050</v>
      </c>
      <c r="D1346" s="469">
        <f t="shared" si="126"/>
        <v>413177.52761904831</v>
      </c>
      <c r="E1346" s="511">
        <f t="shared" si="127"/>
        <v>51647.190952380952</v>
      </c>
      <c r="F1346" s="511">
        <f t="shared" si="120"/>
        <v>361530.33666666737</v>
      </c>
      <c r="G1346" s="469">
        <f t="shared" si="121"/>
        <v>387353.93214285781</v>
      </c>
      <c r="H1346" s="506">
        <f>+J1306*G1346+E1346</f>
        <v>109737.2142207014</v>
      </c>
      <c r="I1346" s="512">
        <f>+J1307*G1346+E1346</f>
        <v>109737.2142207014</v>
      </c>
      <c r="J1346" s="509">
        <f t="shared" si="122"/>
        <v>0</v>
      </c>
      <c r="K1346" s="509"/>
      <c r="L1346" s="513"/>
      <c r="M1346" s="509">
        <f t="shared" si="123"/>
        <v>0</v>
      </c>
      <c r="N1346" s="513"/>
      <c r="O1346" s="509">
        <f t="shared" si="124"/>
        <v>0</v>
      </c>
      <c r="P1346" s="509">
        <f t="shared" si="125"/>
        <v>0</v>
      </c>
      <c r="Q1346" s="471"/>
    </row>
    <row r="1347" spans="3:17">
      <c r="C1347" s="505">
        <f>IF(D1305="","-",+C1346+1)</f>
        <v>2051</v>
      </c>
      <c r="D1347" s="469">
        <f t="shared" si="126"/>
        <v>361530.33666666737</v>
      </c>
      <c r="E1347" s="511">
        <f t="shared" si="127"/>
        <v>51647.190952380952</v>
      </c>
      <c r="F1347" s="511">
        <f t="shared" si="120"/>
        <v>309883.14571428642</v>
      </c>
      <c r="G1347" s="469">
        <f t="shared" si="121"/>
        <v>335706.74119047693</v>
      </c>
      <c r="H1347" s="506">
        <f>+J1306*G1347+E1347</f>
        <v>101991.87778492537</v>
      </c>
      <c r="I1347" s="512">
        <f>+J1307*G1347+E1347</f>
        <v>101991.87778492537</v>
      </c>
      <c r="J1347" s="509">
        <f t="shared" si="122"/>
        <v>0</v>
      </c>
      <c r="K1347" s="509"/>
      <c r="L1347" s="513"/>
      <c r="M1347" s="509">
        <f t="shared" si="123"/>
        <v>0</v>
      </c>
      <c r="N1347" s="513"/>
      <c r="O1347" s="509">
        <f t="shared" si="124"/>
        <v>0</v>
      </c>
      <c r="P1347" s="509">
        <f t="shared" si="125"/>
        <v>0</v>
      </c>
      <c r="Q1347" s="471"/>
    </row>
    <row r="1348" spans="3:17">
      <c r="C1348" s="505">
        <f>IF(D1305="","-",+C1347+1)</f>
        <v>2052</v>
      </c>
      <c r="D1348" s="469">
        <f t="shared" si="126"/>
        <v>309883.14571428642</v>
      </c>
      <c r="E1348" s="511">
        <f t="shared" si="127"/>
        <v>51647.190952380952</v>
      </c>
      <c r="F1348" s="511">
        <f t="shared" si="120"/>
        <v>258235.95476190548</v>
      </c>
      <c r="G1348" s="469">
        <f t="shared" si="121"/>
        <v>284059.55023809592</v>
      </c>
      <c r="H1348" s="506">
        <f>+J1306*G1348+E1348</f>
        <v>94246.541349149309</v>
      </c>
      <c r="I1348" s="512">
        <f>+J1307*G1348+E1348</f>
        <v>94246.541349149309</v>
      </c>
      <c r="J1348" s="509">
        <f t="shared" si="122"/>
        <v>0</v>
      </c>
      <c r="K1348" s="509"/>
      <c r="L1348" s="513"/>
      <c r="M1348" s="509">
        <f t="shared" si="123"/>
        <v>0</v>
      </c>
      <c r="N1348" s="513"/>
      <c r="O1348" s="509">
        <f t="shared" si="124"/>
        <v>0</v>
      </c>
      <c r="P1348" s="509">
        <f t="shared" si="125"/>
        <v>0</v>
      </c>
      <c r="Q1348" s="471"/>
    </row>
    <row r="1349" spans="3:17">
      <c r="C1349" s="505">
        <f>IF(D1305="","-",+C1348+1)</f>
        <v>2053</v>
      </c>
      <c r="D1349" s="469">
        <f t="shared" si="126"/>
        <v>258235.95476190548</v>
      </c>
      <c r="E1349" s="511">
        <f t="shared" si="127"/>
        <v>51647.190952380952</v>
      </c>
      <c r="F1349" s="511">
        <f t="shared" si="120"/>
        <v>206588.76380952453</v>
      </c>
      <c r="G1349" s="469">
        <f t="shared" si="121"/>
        <v>232412.35928571501</v>
      </c>
      <c r="H1349" s="506">
        <f>+J1306*G1349+E1349</f>
        <v>86501.20491337328</v>
      </c>
      <c r="I1349" s="512">
        <f>+J1307*G1349+E1349</f>
        <v>86501.20491337328</v>
      </c>
      <c r="J1349" s="509">
        <f t="shared" si="122"/>
        <v>0</v>
      </c>
      <c r="K1349" s="509"/>
      <c r="L1349" s="513"/>
      <c r="M1349" s="509">
        <f t="shared" si="123"/>
        <v>0</v>
      </c>
      <c r="N1349" s="513"/>
      <c r="O1349" s="509">
        <f t="shared" si="124"/>
        <v>0</v>
      </c>
      <c r="P1349" s="509">
        <f t="shared" si="125"/>
        <v>0</v>
      </c>
      <c r="Q1349" s="471"/>
    </row>
    <row r="1350" spans="3:17">
      <c r="C1350" s="505">
        <f>IF(D1305="","-",+C1349+1)</f>
        <v>2054</v>
      </c>
      <c r="D1350" s="469">
        <f t="shared" si="126"/>
        <v>206588.76380952453</v>
      </c>
      <c r="E1350" s="511">
        <f t="shared" si="127"/>
        <v>51647.190952380952</v>
      </c>
      <c r="F1350" s="511">
        <f t="shared" si="120"/>
        <v>154941.57285714359</v>
      </c>
      <c r="G1350" s="469">
        <f t="shared" si="121"/>
        <v>180765.16833333406</v>
      </c>
      <c r="H1350" s="506">
        <f>+J1306*G1350+E1350</f>
        <v>78755.868477597221</v>
      </c>
      <c r="I1350" s="512">
        <f>+J1307*G1350+E1350</f>
        <v>78755.868477597221</v>
      </c>
      <c r="J1350" s="509">
        <f t="shared" si="122"/>
        <v>0</v>
      </c>
      <c r="K1350" s="509"/>
      <c r="L1350" s="513"/>
      <c r="M1350" s="509">
        <f t="shared" si="123"/>
        <v>0</v>
      </c>
      <c r="N1350" s="513"/>
      <c r="O1350" s="509">
        <f t="shared" si="124"/>
        <v>0</v>
      </c>
      <c r="P1350" s="509">
        <f t="shared" si="125"/>
        <v>0</v>
      </c>
      <c r="Q1350" s="471"/>
    </row>
    <row r="1351" spans="3:17">
      <c r="C1351" s="505">
        <f>IF(D1305="","-",+C1350+1)</f>
        <v>2055</v>
      </c>
      <c r="D1351" s="469">
        <f t="shared" si="126"/>
        <v>154941.57285714359</v>
      </c>
      <c r="E1351" s="511">
        <f t="shared" si="127"/>
        <v>51647.190952380952</v>
      </c>
      <c r="F1351" s="511">
        <f t="shared" si="120"/>
        <v>103294.38190476265</v>
      </c>
      <c r="G1351" s="469">
        <f t="shared" si="121"/>
        <v>129117.97738095312</v>
      </c>
      <c r="H1351" s="506">
        <f>+J1306*G1351+E1351</f>
        <v>71010.532041821178</v>
      </c>
      <c r="I1351" s="512">
        <f>+J1307*G1351+E1351</f>
        <v>71010.532041821178</v>
      </c>
      <c r="J1351" s="509">
        <f t="shared" si="122"/>
        <v>0</v>
      </c>
      <c r="K1351" s="509"/>
      <c r="L1351" s="513"/>
      <c r="M1351" s="509">
        <f t="shared" si="123"/>
        <v>0</v>
      </c>
      <c r="N1351" s="513"/>
      <c r="O1351" s="509">
        <f t="shared" si="124"/>
        <v>0</v>
      </c>
      <c r="P1351" s="509">
        <f t="shared" si="125"/>
        <v>0</v>
      </c>
      <c r="Q1351" s="471"/>
    </row>
    <row r="1352" spans="3:17">
      <c r="C1352" s="505">
        <f>IF(D1305="","-",+C1351+1)</f>
        <v>2056</v>
      </c>
      <c r="D1352" s="469">
        <f t="shared" si="126"/>
        <v>103294.38190476265</v>
      </c>
      <c r="E1352" s="511">
        <f t="shared" si="127"/>
        <v>51647.190952380952</v>
      </c>
      <c r="F1352" s="511">
        <f t="shared" si="120"/>
        <v>51647.190952381694</v>
      </c>
      <c r="G1352" s="469">
        <f t="shared" si="121"/>
        <v>77470.786428572173</v>
      </c>
      <c r="H1352" s="506">
        <f>+J1306*G1352+E1352</f>
        <v>63265.195606045134</v>
      </c>
      <c r="I1352" s="512">
        <f>+J1307*G1352+E1352</f>
        <v>63265.195606045134</v>
      </c>
      <c r="J1352" s="509">
        <f t="shared" si="122"/>
        <v>0</v>
      </c>
      <c r="K1352" s="509"/>
      <c r="L1352" s="513"/>
      <c r="M1352" s="509">
        <f t="shared" si="123"/>
        <v>0</v>
      </c>
      <c r="N1352" s="513"/>
      <c r="O1352" s="509">
        <f t="shared" si="124"/>
        <v>0</v>
      </c>
      <c r="P1352" s="509">
        <f t="shared" si="125"/>
        <v>0</v>
      </c>
      <c r="Q1352" s="471"/>
    </row>
    <row r="1353" spans="3:17">
      <c r="C1353" s="505">
        <f>IF(D1305="","-",+C1352+1)</f>
        <v>2057</v>
      </c>
      <c r="D1353" s="469">
        <f t="shared" si="126"/>
        <v>51647.190952381694</v>
      </c>
      <c r="E1353" s="511">
        <f t="shared" si="127"/>
        <v>51647.190952380952</v>
      </c>
      <c r="F1353" s="511">
        <f t="shared" si="120"/>
        <v>7.4214767664670944E-10</v>
      </c>
      <c r="G1353" s="469">
        <f t="shared" si="121"/>
        <v>25823.595476191218</v>
      </c>
      <c r="H1353" s="506">
        <f>+J1306*G1353+E1353</f>
        <v>55519.85917026909</v>
      </c>
      <c r="I1353" s="512">
        <f>+J1307*G1353+E1353</f>
        <v>55519.85917026909</v>
      </c>
      <c r="J1353" s="509">
        <f t="shared" si="122"/>
        <v>0</v>
      </c>
      <c r="K1353" s="509"/>
      <c r="L1353" s="513"/>
      <c r="M1353" s="509">
        <f t="shared" si="123"/>
        <v>0</v>
      </c>
      <c r="N1353" s="513"/>
      <c r="O1353" s="509">
        <f t="shared" si="124"/>
        <v>0</v>
      </c>
      <c r="P1353" s="509">
        <f t="shared" si="125"/>
        <v>0</v>
      </c>
      <c r="Q1353" s="471"/>
    </row>
    <row r="1354" spans="3:17">
      <c r="C1354" s="505">
        <f>IF(D1305="","-",+C1353+1)</f>
        <v>2058</v>
      </c>
      <c r="D1354" s="469">
        <f t="shared" si="126"/>
        <v>7.4214767664670944E-10</v>
      </c>
      <c r="E1354" s="511">
        <f t="shared" si="127"/>
        <v>7.4214767664670944E-10</v>
      </c>
      <c r="F1354" s="511">
        <f t="shared" si="120"/>
        <v>0</v>
      </c>
      <c r="G1354" s="469">
        <f t="shared" si="121"/>
        <v>3.7107383832335472E-10</v>
      </c>
      <c r="H1354" s="506">
        <f>+J1306*G1354+E1354</f>
        <v>7.9779623501611002E-10</v>
      </c>
      <c r="I1354" s="512">
        <f>+J1307*G1354+E1354</f>
        <v>7.9779623501611002E-10</v>
      </c>
      <c r="J1354" s="509">
        <f t="shared" si="122"/>
        <v>0</v>
      </c>
      <c r="K1354" s="509"/>
      <c r="L1354" s="513"/>
      <c r="M1354" s="509">
        <f t="shared" si="123"/>
        <v>0</v>
      </c>
      <c r="N1354" s="513"/>
      <c r="O1354" s="509">
        <f t="shared" si="124"/>
        <v>0</v>
      </c>
      <c r="P1354" s="509">
        <f t="shared" si="125"/>
        <v>0</v>
      </c>
      <c r="Q1354" s="471"/>
    </row>
    <row r="1355" spans="3:17">
      <c r="C1355" s="505">
        <f>IF(D1305="","-",+C1354+1)</f>
        <v>2059</v>
      </c>
      <c r="D1355" s="469">
        <f t="shared" si="126"/>
        <v>0</v>
      </c>
      <c r="E1355" s="511">
        <f t="shared" si="127"/>
        <v>0</v>
      </c>
      <c r="F1355" s="511">
        <f t="shared" si="120"/>
        <v>0</v>
      </c>
      <c r="G1355" s="469">
        <f t="shared" si="121"/>
        <v>0</v>
      </c>
      <c r="H1355" s="506">
        <f>+J1306*G1355+E1355</f>
        <v>0</v>
      </c>
      <c r="I1355" s="512">
        <f>+J1307*G1355+E1355</f>
        <v>0</v>
      </c>
      <c r="J1355" s="509">
        <f t="shared" si="122"/>
        <v>0</v>
      </c>
      <c r="K1355" s="509"/>
      <c r="L1355" s="513"/>
      <c r="M1355" s="509">
        <f t="shared" si="123"/>
        <v>0</v>
      </c>
      <c r="N1355" s="513"/>
      <c r="O1355" s="509">
        <f t="shared" si="124"/>
        <v>0</v>
      </c>
      <c r="P1355" s="509">
        <f t="shared" si="125"/>
        <v>0</v>
      </c>
      <c r="Q1355" s="471"/>
    </row>
    <row r="1356" spans="3:17">
      <c r="C1356" s="505">
        <f>IF(D1305="","-",+C1355+1)</f>
        <v>2060</v>
      </c>
      <c r="D1356" s="469">
        <f t="shared" si="126"/>
        <v>0</v>
      </c>
      <c r="E1356" s="511">
        <f t="shared" si="127"/>
        <v>0</v>
      </c>
      <c r="F1356" s="511">
        <f t="shared" si="120"/>
        <v>0</v>
      </c>
      <c r="G1356" s="469">
        <f t="shared" si="121"/>
        <v>0</v>
      </c>
      <c r="H1356" s="506">
        <f>+J1306*G1356+E1356</f>
        <v>0</v>
      </c>
      <c r="I1356" s="512">
        <f>+J1307*G1356+E1356</f>
        <v>0</v>
      </c>
      <c r="J1356" s="509">
        <f t="shared" si="122"/>
        <v>0</v>
      </c>
      <c r="K1356" s="509"/>
      <c r="L1356" s="513"/>
      <c r="M1356" s="509">
        <f t="shared" si="123"/>
        <v>0</v>
      </c>
      <c r="N1356" s="513"/>
      <c r="O1356" s="509">
        <f t="shared" si="124"/>
        <v>0</v>
      </c>
      <c r="P1356" s="509">
        <f t="shared" si="125"/>
        <v>0</v>
      </c>
      <c r="Q1356" s="471"/>
    </row>
    <row r="1357" spans="3:17">
      <c r="C1357" s="505">
        <f>IF(D1305="","-",+C1356+1)</f>
        <v>2061</v>
      </c>
      <c r="D1357" s="469">
        <f t="shared" si="126"/>
        <v>0</v>
      </c>
      <c r="E1357" s="511">
        <f t="shared" si="127"/>
        <v>0</v>
      </c>
      <c r="F1357" s="511">
        <f t="shared" si="120"/>
        <v>0</v>
      </c>
      <c r="G1357" s="469">
        <f t="shared" si="121"/>
        <v>0</v>
      </c>
      <c r="H1357" s="506">
        <f>+J1306*G1357+E1357</f>
        <v>0</v>
      </c>
      <c r="I1357" s="512">
        <f>+J1307*G1357+E1357</f>
        <v>0</v>
      </c>
      <c r="J1357" s="509">
        <f t="shared" si="122"/>
        <v>0</v>
      </c>
      <c r="K1357" s="509"/>
      <c r="L1357" s="513"/>
      <c r="M1357" s="509">
        <f t="shared" si="123"/>
        <v>0</v>
      </c>
      <c r="N1357" s="513"/>
      <c r="O1357" s="509">
        <f t="shared" si="124"/>
        <v>0</v>
      </c>
      <c r="P1357" s="509">
        <f t="shared" si="125"/>
        <v>0</v>
      </c>
      <c r="Q1357" s="471"/>
    </row>
    <row r="1358" spans="3:17">
      <c r="C1358" s="505">
        <f>IF(D1305="","-",+C1357+1)</f>
        <v>2062</v>
      </c>
      <c r="D1358" s="469">
        <f t="shared" si="126"/>
        <v>0</v>
      </c>
      <c r="E1358" s="511">
        <f t="shared" si="127"/>
        <v>0</v>
      </c>
      <c r="F1358" s="511">
        <f t="shared" si="120"/>
        <v>0</v>
      </c>
      <c r="G1358" s="469">
        <f t="shared" si="121"/>
        <v>0</v>
      </c>
      <c r="H1358" s="506">
        <f>+J1306*G1358+E1358</f>
        <v>0</v>
      </c>
      <c r="I1358" s="512">
        <f>+J1307*G1358+E1358</f>
        <v>0</v>
      </c>
      <c r="J1358" s="509">
        <f t="shared" si="122"/>
        <v>0</v>
      </c>
      <c r="K1358" s="509"/>
      <c r="L1358" s="513"/>
      <c r="M1358" s="509">
        <f t="shared" si="123"/>
        <v>0</v>
      </c>
      <c r="N1358" s="513"/>
      <c r="O1358" s="509">
        <f t="shared" si="124"/>
        <v>0</v>
      </c>
      <c r="P1358" s="509">
        <f t="shared" si="125"/>
        <v>0</v>
      </c>
      <c r="Q1358" s="471"/>
    </row>
    <row r="1359" spans="3:17">
      <c r="C1359" s="505">
        <f>IF(D1305="","-",+C1358+1)</f>
        <v>2063</v>
      </c>
      <c r="D1359" s="469">
        <f t="shared" si="126"/>
        <v>0</v>
      </c>
      <c r="E1359" s="511">
        <f t="shared" si="127"/>
        <v>0</v>
      </c>
      <c r="F1359" s="511">
        <f t="shared" si="120"/>
        <v>0</v>
      </c>
      <c r="G1359" s="469">
        <f t="shared" si="121"/>
        <v>0</v>
      </c>
      <c r="H1359" s="506">
        <f>+J1306*G1359+E1359</f>
        <v>0</v>
      </c>
      <c r="I1359" s="512">
        <f>+J1307*G1359+E1359</f>
        <v>0</v>
      </c>
      <c r="J1359" s="509">
        <f t="shared" si="122"/>
        <v>0</v>
      </c>
      <c r="K1359" s="509"/>
      <c r="L1359" s="513"/>
      <c r="M1359" s="509">
        <f t="shared" si="123"/>
        <v>0</v>
      </c>
      <c r="N1359" s="513"/>
      <c r="O1359" s="509">
        <f t="shared" si="124"/>
        <v>0</v>
      </c>
      <c r="P1359" s="509">
        <f t="shared" si="125"/>
        <v>0</v>
      </c>
      <c r="Q1359" s="471"/>
    </row>
    <row r="1360" spans="3:17">
      <c r="C1360" s="505">
        <f>IF(D1305="","-",+C1359+1)</f>
        <v>2064</v>
      </c>
      <c r="D1360" s="469">
        <f t="shared" si="126"/>
        <v>0</v>
      </c>
      <c r="E1360" s="511">
        <f t="shared" si="127"/>
        <v>0</v>
      </c>
      <c r="F1360" s="511">
        <f t="shared" si="120"/>
        <v>0</v>
      </c>
      <c r="G1360" s="469">
        <f t="shared" si="121"/>
        <v>0</v>
      </c>
      <c r="H1360" s="506">
        <f>+J1306*G1360+E1360</f>
        <v>0</v>
      </c>
      <c r="I1360" s="512">
        <f>+J1307*G1360+E1360</f>
        <v>0</v>
      </c>
      <c r="J1360" s="509">
        <f t="shared" si="122"/>
        <v>0</v>
      </c>
      <c r="K1360" s="509"/>
      <c r="L1360" s="513"/>
      <c r="M1360" s="509">
        <f t="shared" si="123"/>
        <v>0</v>
      </c>
      <c r="N1360" s="513"/>
      <c r="O1360" s="509">
        <f t="shared" si="124"/>
        <v>0</v>
      </c>
      <c r="P1360" s="509">
        <f t="shared" si="125"/>
        <v>0</v>
      </c>
      <c r="Q1360" s="471"/>
    </row>
    <row r="1361" spans="3:17">
      <c r="C1361" s="505">
        <f>IF(D1305="","-",+C1360+1)</f>
        <v>2065</v>
      </c>
      <c r="D1361" s="469">
        <f t="shared" si="126"/>
        <v>0</v>
      </c>
      <c r="E1361" s="511">
        <f t="shared" si="127"/>
        <v>0</v>
      </c>
      <c r="F1361" s="511">
        <f t="shared" si="120"/>
        <v>0</v>
      </c>
      <c r="G1361" s="469">
        <f t="shared" si="121"/>
        <v>0</v>
      </c>
      <c r="H1361" s="506">
        <f>+J1306*G1361+E1361</f>
        <v>0</v>
      </c>
      <c r="I1361" s="512">
        <f>+J1307*G1361+E1361</f>
        <v>0</v>
      </c>
      <c r="J1361" s="509">
        <f t="shared" si="122"/>
        <v>0</v>
      </c>
      <c r="K1361" s="509"/>
      <c r="L1361" s="513"/>
      <c r="M1361" s="509">
        <f t="shared" si="123"/>
        <v>0</v>
      </c>
      <c r="N1361" s="513"/>
      <c r="O1361" s="509">
        <f t="shared" si="124"/>
        <v>0</v>
      </c>
      <c r="P1361" s="509">
        <f t="shared" si="125"/>
        <v>0</v>
      </c>
      <c r="Q1361" s="471"/>
    </row>
    <row r="1362" spans="3:17">
      <c r="C1362" s="505">
        <f>IF(D1305="","-",+C1361+1)</f>
        <v>2066</v>
      </c>
      <c r="D1362" s="469">
        <f t="shared" si="126"/>
        <v>0</v>
      </c>
      <c r="E1362" s="511">
        <f t="shared" si="127"/>
        <v>0</v>
      </c>
      <c r="F1362" s="511">
        <f t="shared" si="120"/>
        <v>0</v>
      </c>
      <c r="G1362" s="469">
        <f t="shared" si="121"/>
        <v>0</v>
      </c>
      <c r="H1362" s="506">
        <f>+J1306*G1362+E1362</f>
        <v>0</v>
      </c>
      <c r="I1362" s="512">
        <f>+J1307*G1362+E1362</f>
        <v>0</v>
      </c>
      <c r="J1362" s="509">
        <f t="shared" si="122"/>
        <v>0</v>
      </c>
      <c r="K1362" s="509"/>
      <c r="L1362" s="513"/>
      <c r="M1362" s="509">
        <f t="shared" si="123"/>
        <v>0</v>
      </c>
      <c r="N1362" s="513"/>
      <c r="O1362" s="509">
        <f t="shared" si="124"/>
        <v>0</v>
      </c>
      <c r="P1362" s="509">
        <f t="shared" si="125"/>
        <v>0</v>
      </c>
      <c r="Q1362" s="471"/>
    </row>
    <row r="1363" spans="3:17">
      <c r="C1363" s="505">
        <f>IF(D1305="","-",+C1362+1)</f>
        <v>2067</v>
      </c>
      <c r="D1363" s="469">
        <f t="shared" si="126"/>
        <v>0</v>
      </c>
      <c r="E1363" s="511">
        <f t="shared" si="127"/>
        <v>0</v>
      </c>
      <c r="F1363" s="511">
        <f t="shared" si="120"/>
        <v>0</v>
      </c>
      <c r="G1363" s="469">
        <f t="shared" si="121"/>
        <v>0</v>
      </c>
      <c r="H1363" s="506">
        <f>+J1306*G1363+E1363</f>
        <v>0</v>
      </c>
      <c r="I1363" s="512">
        <f>+J1307*G1363+E1363</f>
        <v>0</v>
      </c>
      <c r="J1363" s="509">
        <f t="shared" si="122"/>
        <v>0</v>
      </c>
      <c r="K1363" s="509"/>
      <c r="L1363" s="513"/>
      <c r="M1363" s="509">
        <f t="shared" si="123"/>
        <v>0</v>
      </c>
      <c r="N1363" s="513"/>
      <c r="O1363" s="509">
        <f t="shared" si="124"/>
        <v>0</v>
      </c>
      <c r="P1363" s="509">
        <f t="shared" si="125"/>
        <v>0</v>
      </c>
      <c r="Q1363" s="471"/>
    </row>
    <row r="1364" spans="3:17">
      <c r="C1364" s="505">
        <f>IF(D1305="","-",+C1363+1)</f>
        <v>2068</v>
      </c>
      <c r="D1364" s="469">
        <f t="shared" si="126"/>
        <v>0</v>
      </c>
      <c r="E1364" s="511">
        <f t="shared" si="127"/>
        <v>0</v>
      </c>
      <c r="F1364" s="511">
        <f t="shared" si="120"/>
        <v>0</v>
      </c>
      <c r="G1364" s="469">
        <f t="shared" si="121"/>
        <v>0</v>
      </c>
      <c r="H1364" s="506">
        <f>+J1306*G1364+E1364</f>
        <v>0</v>
      </c>
      <c r="I1364" s="512">
        <f>+J1307*G1364+E1364</f>
        <v>0</v>
      </c>
      <c r="J1364" s="509">
        <f t="shared" si="122"/>
        <v>0</v>
      </c>
      <c r="K1364" s="509"/>
      <c r="L1364" s="513"/>
      <c r="M1364" s="509">
        <f t="shared" si="123"/>
        <v>0</v>
      </c>
      <c r="N1364" s="513"/>
      <c r="O1364" s="509">
        <f t="shared" si="124"/>
        <v>0</v>
      </c>
      <c r="P1364" s="509">
        <f t="shared" si="125"/>
        <v>0</v>
      </c>
      <c r="Q1364" s="471"/>
    </row>
    <row r="1365" spans="3:17">
      <c r="C1365" s="505">
        <f>IF(D1305="","-",+C1364+1)</f>
        <v>2069</v>
      </c>
      <c r="D1365" s="469">
        <f t="shared" si="126"/>
        <v>0</v>
      </c>
      <c r="E1365" s="511">
        <f t="shared" si="127"/>
        <v>0</v>
      </c>
      <c r="F1365" s="511">
        <f t="shared" si="120"/>
        <v>0</v>
      </c>
      <c r="G1365" s="469">
        <f t="shared" si="121"/>
        <v>0</v>
      </c>
      <c r="H1365" s="506">
        <f>+J1306*G1365+E1365</f>
        <v>0</v>
      </c>
      <c r="I1365" s="512">
        <f>+J1307*G1365+E1365</f>
        <v>0</v>
      </c>
      <c r="J1365" s="509">
        <f t="shared" si="122"/>
        <v>0</v>
      </c>
      <c r="K1365" s="509"/>
      <c r="L1365" s="513"/>
      <c r="M1365" s="509">
        <f t="shared" si="123"/>
        <v>0</v>
      </c>
      <c r="N1365" s="513"/>
      <c r="O1365" s="509">
        <f t="shared" si="124"/>
        <v>0</v>
      </c>
      <c r="P1365" s="509">
        <f t="shared" si="125"/>
        <v>0</v>
      </c>
      <c r="Q1365" s="471"/>
    </row>
    <row r="1366" spans="3:17">
      <c r="C1366" s="505">
        <f>IF(D1305="","-",+C1365+1)</f>
        <v>2070</v>
      </c>
      <c r="D1366" s="469">
        <f t="shared" si="126"/>
        <v>0</v>
      </c>
      <c r="E1366" s="511">
        <f t="shared" si="127"/>
        <v>0</v>
      </c>
      <c r="F1366" s="511">
        <f t="shared" si="120"/>
        <v>0</v>
      </c>
      <c r="G1366" s="469">
        <f t="shared" si="121"/>
        <v>0</v>
      </c>
      <c r="H1366" s="506">
        <f>+J1306*G1366+E1366</f>
        <v>0</v>
      </c>
      <c r="I1366" s="512">
        <f>+J1307*G1366+E1366</f>
        <v>0</v>
      </c>
      <c r="J1366" s="509">
        <f t="shared" si="122"/>
        <v>0</v>
      </c>
      <c r="K1366" s="509"/>
      <c r="L1366" s="513"/>
      <c r="M1366" s="509">
        <f t="shared" si="123"/>
        <v>0</v>
      </c>
      <c r="N1366" s="513"/>
      <c r="O1366" s="509">
        <f t="shared" si="124"/>
        <v>0</v>
      </c>
      <c r="P1366" s="509">
        <f t="shared" si="125"/>
        <v>0</v>
      </c>
      <c r="Q1366" s="471"/>
    </row>
    <row r="1367" spans="3:17">
      <c r="C1367" s="505">
        <f>IF(D1305="","-",+C1366+1)</f>
        <v>2071</v>
      </c>
      <c r="D1367" s="469">
        <f t="shared" si="126"/>
        <v>0</v>
      </c>
      <c r="E1367" s="511">
        <f t="shared" si="127"/>
        <v>0</v>
      </c>
      <c r="F1367" s="511">
        <f t="shared" si="120"/>
        <v>0</v>
      </c>
      <c r="G1367" s="469">
        <f t="shared" si="121"/>
        <v>0</v>
      </c>
      <c r="H1367" s="506">
        <f>+J1306*G1367+E1367</f>
        <v>0</v>
      </c>
      <c r="I1367" s="512">
        <f>+J1307*G1367+E1367</f>
        <v>0</v>
      </c>
      <c r="J1367" s="509">
        <f t="shared" si="122"/>
        <v>0</v>
      </c>
      <c r="K1367" s="509"/>
      <c r="L1367" s="513"/>
      <c r="M1367" s="509">
        <f t="shared" si="123"/>
        <v>0</v>
      </c>
      <c r="N1367" s="513"/>
      <c r="O1367" s="509">
        <f t="shared" si="124"/>
        <v>0</v>
      </c>
      <c r="P1367" s="509">
        <f t="shared" si="125"/>
        <v>0</v>
      </c>
      <c r="Q1367" s="471"/>
    </row>
    <row r="1368" spans="3:17">
      <c r="C1368" s="505">
        <f>IF(D1305="","-",+C1367+1)</f>
        <v>2072</v>
      </c>
      <c r="D1368" s="469">
        <f t="shared" si="126"/>
        <v>0</v>
      </c>
      <c r="E1368" s="511">
        <f t="shared" si="127"/>
        <v>0</v>
      </c>
      <c r="F1368" s="511">
        <f t="shared" si="120"/>
        <v>0</v>
      </c>
      <c r="G1368" s="469">
        <f t="shared" si="121"/>
        <v>0</v>
      </c>
      <c r="H1368" s="506">
        <f>+J1306*G1368+E1368</f>
        <v>0</v>
      </c>
      <c r="I1368" s="512">
        <f>+J1307*G1368+E1368</f>
        <v>0</v>
      </c>
      <c r="J1368" s="509">
        <f t="shared" si="122"/>
        <v>0</v>
      </c>
      <c r="K1368" s="509"/>
      <c r="L1368" s="513"/>
      <c r="M1368" s="509">
        <f t="shared" si="123"/>
        <v>0</v>
      </c>
      <c r="N1368" s="513"/>
      <c r="O1368" s="509">
        <f t="shared" si="124"/>
        <v>0</v>
      </c>
      <c r="P1368" s="509">
        <f t="shared" si="125"/>
        <v>0</v>
      </c>
      <c r="Q1368" s="471"/>
    </row>
    <row r="1369" spans="3:17">
      <c r="C1369" s="505">
        <f>IF(D1305="","-",+C1368+1)</f>
        <v>2073</v>
      </c>
      <c r="D1369" s="469">
        <f t="shared" si="126"/>
        <v>0</v>
      </c>
      <c r="E1369" s="511">
        <f t="shared" si="127"/>
        <v>0</v>
      </c>
      <c r="F1369" s="511">
        <f t="shared" si="120"/>
        <v>0</v>
      </c>
      <c r="G1369" s="469">
        <f t="shared" si="121"/>
        <v>0</v>
      </c>
      <c r="H1369" s="506">
        <f>+J1306*G1369+E1369</f>
        <v>0</v>
      </c>
      <c r="I1369" s="512">
        <f>+J1307*G1369+E1369</f>
        <v>0</v>
      </c>
      <c r="J1369" s="509">
        <f t="shared" si="122"/>
        <v>0</v>
      </c>
      <c r="K1369" s="509"/>
      <c r="L1369" s="513"/>
      <c r="M1369" s="509">
        <f t="shared" si="123"/>
        <v>0</v>
      </c>
      <c r="N1369" s="513"/>
      <c r="O1369" s="509">
        <f t="shared" si="124"/>
        <v>0</v>
      </c>
      <c r="P1369" s="509">
        <f t="shared" si="125"/>
        <v>0</v>
      </c>
      <c r="Q1369" s="471"/>
    </row>
    <row r="1370" spans="3:17" ht="13.5" thickBot="1">
      <c r="C1370" s="515">
        <f>IF(D1305="","-",+C1369+1)</f>
        <v>2074</v>
      </c>
      <c r="D1370" s="516">
        <f t="shared" si="126"/>
        <v>0</v>
      </c>
      <c r="E1370" s="976">
        <f t="shared" si="127"/>
        <v>0</v>
      </c>
      <c r="F1370" s="517">
        <f t="shared" si="120"/>
        <v>0</v>
      </c>
      <c r="G1370" s="516">
        <f t="shared" si="121"/>
        <v>0</v>
      </c>
      <c r="H1370" s="518">
        <f>+J1306*G1370+E1370</f>
        <v>0</v>
      </c>
      <c r="I1370" s="518">
        <f>+J1307*G1370+E1370</f>
        <v>0</v>
      </c>
      <c r="J1370" s="519">
        <f t="shared" si="122"/>
        <v>0</v>
      </c>
      <c r="K1370" s="509"/>
      <c r="L1370" s="520"/>
      <c r="M1370" s="519">
        <f t="shared" si="123"/>
        <v>0</v>
      </c>
      <c r="N1370" s="520"/>
      <c r="O1370" s="519">
        <f t="shared" si="124"/>
        <v>0</v>
      </c>
      <c r="P1370" s="519">
        <f t="shared" si="125"/>
        <v>0</v>
      </c>
      <c r="Q1370" s="471"/>
    </row>
    <row r="1371" spans="3:17">
      <c r="C1371" s="469" t="s">
        <v>288</v>
      </c>
      <c r="D1371" s="467"/>
      <c r="E1371" s="467">
        <f>SUM(E1311:E1370)</f>
        <v>2169182.0200000005</v>
      </c>
      <c r="F1371" s="467"/>
      <c r="G1371" s="467"/>
      <c r="H1371" s="467">
        <f>SUM(H1311:H1370)</f>
        <v>9325872.8866570704</v>
      </c>
      <c r="I1371" s="467">
        <f>SUM(I1311:I1370)</f>
        <v>9325872.8866570704</v>
      </c>
      <c r="J1371" s="467">
        <f>SUM(J1311:J1370)</f>
        <v>0</v>
      </c>
      <c r="K1371" s="467"/>
      <c r="L1371" s="467"/>
      <c r="M1371" s="467"/>
      <c r="N1371" s="467"/>
      <c r="O1371" s="467"/>
      <c r="Q1371" s="467"/>
    </row>
    <row r="1372" spans="3:17">
      <c r="D1372" s="79"/>
      <c r="E1372" s="4"/>
      <c r="F1372" s="4"/>
      <c r="G1372" s="4"/>
      <c r="H1372" s="4"/>
      <c r="I1372" s="452"/>
      <c r="J1372" s="452"/>
      <c r="K1372" s="467"/>
      <c r="L1372" s="452"/>
      <c r="M1372" s="452"/>
      <c r="N1372" s="452"/>
      <c r="O1372" s="452"/>
      <c r="Q1372" s="467"/>
    </row>
    <row r="1373" spans="3:17">
      <c r="C1373" s="4" t="s">
        <v>595</v>
      </c>
      <c r="D1373" s="79"/>
      <c r="E1373" s="4"/>
      <c r="F1373" s="4"/>
      <c r="G1373" s="4"/>
      <c r="H1373" s="4"/>
      <c r="I1373" s="452"/>
      <c r="J1373" s="452"/>
      <c r="K1373" s="467"/>
      <c r="L1373" s="452"/>
      <c r="M1373" s="452"/>
      <c r="N1373" s="452"/>
      <c r="O1373" s="452"/>
      <c r="Q1373" s="467"/>
    </row>
    <row r="1374" spans="3:17">
      <c r="D1374" s="79"/>
      <c r="E1374" s="4"/>
      <c r="F1374" s="4"/>
      <c r="G1374" s="4"/>
      <c r="H1374" s="4"/>
      <c r="I1374" s="452"/>
      <c r="J1374" s="452"/>
      <c r="K1374" s="467"/>
      <c r="L1374" s="452"/>
      <c r="M1374" s="452"/>
      <c r="N1374" s="452"/>
      <c r="O1374" s="452"/>
      <c r="Q1374" s="467"/>
    </row>
    <row r="1375" spans="3:17">
      <c r="C1375" s="4" t="s">
        <v>596</v>
      </c>
      <c r="D1375" s="469"/>
      <c r="E1375" s="469"/>
      <c r="F1375" s="469"/>
      <c r="G1375" s="469"/>
      <c r="H1375" s="467"/>
      <c r="I1375" s="467"/>
      <c r="J1375" s="471"/>
      <c r="K1375" s="471"/>
      <c r="L1375" s="471"/>
      <c r="M1375" s="471"/>
      <c r="N1375" s="471"/>
      <c r="O1375" s="471"/>
      <c r="Q1375" s="471"/>
    </row>
    <row r="1376" spans="3:17">
      <c r="C1376" s="4" t="s">
        <v>476</v>
      </c>
      <c r="D1376" s="469"/>
      <c r="E1376" s="469"/>
      <c r="F1376" s="469"/>
      <c r="G1376" s="469"/>
      <c r="H1376" s="467"/>
      <c r="I1376" s="467"/>
      <c r="J1376" s="471"/>
      <c r="K1376" s="471"/>
      <c r="L1376" s="471"/>
      <c r="M1376" s="471"/>
      <c r="N1376" s="471"/>
      <c r="O1376" s="471"/>
      <c r="Q1376" s="471"/>
    </row>
    <row r="1377" spans="1:17">
      <c r="C1377" s="4" t="s">
        <v>289</v>
      </c>
      <c r="D1377" s="469"/>
      <c r="E1377" s="469"/>
      <c r="F1377" s="469"/>
      <c r="G1377" s="469"/>
      <c r="H1377" s="467"/>
      <c r="I1377" s="467"/>
      <c r="J1377" s="471"/>
      <c r="K1377" s="471"/>
      <c r="L1377" s="471"/>
      <c r="M1377" s="471"/>
      <c r="N1377" s="471"/>
      <c r="O1377" s="471"/>
      <c r="Q1377" s="471"/>
    </row>
    <row r="1378" spans="1:17" ht="20.25">
      <c r="A1378" s="411" t="s">
        <v>762</v>
      </c>
      <c r="B1378" s="4"/>
      <c r="C1378" s="4"/>
      <c r="D1378" s="79"/>
      <c r="E1378" s="4"/>
      <c r="F1378" s="81"/>
      <c r="G1378" s="81"/>
      <c r="H1378" s="4"/>
      <c r="I1378" s="452"/>
      <c r="L1378" s="11"/>
      <c r="M1378" s="11"/>
      <c r="N1378" s="11"/>
      <c r="O1378" s="11" t="str">
        <f>"Page "&amp;SUM(Q$3:Q1378)&amp;" of "</f>
        <v xml:space="preserve">Page 17 of </v>
      </c>
      <c r="P1378" s="412">
        <f>COUNT(Q$8:Q$58212)</f>
        <v>23</v>
      </c>
      <c r="Q1378" s="539">
        <v>1</v>
      </c>
    </row>
    <row r="1379" spans="1:17">
      <c r="B1379" s="4"/>
      <c r="C1379" s="4"/>
      <c r="D1379" s="79"/>
      <c r="E1379" s="4"/>
      <c r="F1379" s="4"/>
      <c r="G1379" s="4"/>
      <c r="H1379" s="4"/>
      <c r="I1379" s="452"/>
      <c r="J1379" s="4"/>
      <c r="K1379" s="4"/>
    </row>
    <row r="1380" spans="1:17" ht="18">
      <c r="B1380" s="413" t="s">
        <v>174</v>
      </c>
      <c r="C1380" s="472" t="s">
        <v>290</v>
      </c>
      <c r="D1380" s="79"/>
      <c r="E1380" s="4"/>
      <c r="F1380" s="4"/>
      <c r="G1380" s="4"/>
      <c r="H1380" s="4"/>
      <c r="I1380" s="452"/>
      <c r="J1380" s="452"/>
      <c r="K1380" s="467"/>
      <c r="L1380" s="452"/>
      <c r="M1380" s="452"/>
      <c r="N1380" s="452"/>
      <c r="O1380" s="452"/>
      <c r="Q1380" s="467"/>
    </row>
    <row r="1381" spans="1:17" ht="18.75">
      <c r="B1381" s="413"/>
      <c r="C1381" s="13"/>
      <c r="D1381" s="79"/>
      <c r="E1381" s="4"/>
      <c r="F1381" s="4"/>
      <c r="G1381" s="4"/>
      <c r="H1381" s="4"/>
      <c r="I1381" s="452"/>
      <c r="J1381" s="452"/>
      <c r="K1381" s="467"/>
      <c r="L1381" s="452"/>
      <c r="M1381" s="452"/>
      <c r="N1381" s="452"/>
      <c r="O1381" s="452"/>
      <c r="Q1381" s="467"/>
    </row>
    <row r="1382" spans="1:17" ht="18.75">
      <c r="B1382" s="413"/>
      <c r="C1382" s="13" t="s">
        <v>291</v>
      </c>
      <c r="D1382" s="79"/>
      <c r="E1382" s="4"/>
      <c r="F1382" s="4"/>
      <c r="G1382" s="4"/>
      <c r="H1382" s="4"/>
      <c r="I1382" s="452"/>
      <c r="J1382" s="452"/>
      <c r="K1382" s="467"/>
      <c r="L1382" s="452"/>
      <c r="M1382" s="452"/>
      <c r="N1382" s="452"/>
      <c r="O1382" s="452"/>
      <c r="Q1382" s="467"/>
    </row>
    <row r="1383" spans="1:17" ht="15.75" thickBot="1">
      <c r="C1383" s="247"/>
      <c r="D1383" s="79"/>
      <c r="E1383" s="4"/>
      <c r="F1383" s="4"/>
      <c r="G1383" s="4"/>
      <c r="H1383" s="4"/>
      <c r="I1383" s="452"/>
      <c r="J1383" s="452"/>
      <c r="K1383" s="467"/>
      <c r="L1383" s="452"/>
      <c r="M1383" s="452"/>
      <c r="N1383" s="452"/>
      <c r="O1383" s="452"/>
      <c r="Q1383" s="467"/>
    </row>
    <row r="1384" spans="1:17" ht="15.75">
      <c r="C1384" s="414" t="s">
        <v>292</v>
      </c>
      <c r="D1384" s="79"/>
      <c r="E1384" s="4"/>
      <c r="F1384" s="4"/>
      <c r="G1384" s="4"/>
      <c r="H1384" s="635"/>
      <c r="I1384" s="4" t="s">
        <v>271</v>
      </c>
      <c r="J1384" s="4"/>
      <c r="K1384" s="4"/>
      <c r="L1384" s="540">
        <f>+J1390</f>
        <v>2025</v>
      </c>
      <c r="M1384" s="524" t="s">
        <v>254</v>
      </c>
      <c r="N1384" s="524" t="s">
        <v>255</v>
      </c>
      <c r="O1384" s="525" t="s">
        <v>256</v>
      </c>
    </row>
    <row r="1385" spans="1:17" ht="15.75">
      <c r="C1385" s="414"/>
      <c r="D1385" s="79"/>
      <c r="E1385" s="4"/>
      <c r="F1385" s="4"/>
      <c r="H1385" s="4"/>
      <c r="I1385" s="476"/>
      <c r="J1385" s="476"/>
      <c r="K1385" s="477"/>
      <c r="L1385" s="541" t="s">
        <v>455</v>
      </c>
      <c r="M1385" s="542">
        <f>VLOOKUP(J1390,C1397:P1456,10)</f>
        <v>84422.11925126244</v>
      </c>
      <c r="N1385" s="542">
        <f>VLOOKUP(J1390,C1397:P1456,12)</f>
        <v>84422.11925126244</v>
      </c>
      <c r="O1385" s="543">
        <f>+N1385-M1385</f>
        <v>0</v>
      </c>
      <c r="Q1385" s="477"/>
    </row>
    <row r="1386" spans="1:17">
      <c r="C1386" s="479" t="s">
        <v>293</v>
      </c>
      <c r="D1386" s="1276" t="s">
        <v>953</v>
      </c>
      <c r="E1386" s="1276"/>
      <c r="F1386" s="1276"/>
      <c r="G1386" s="1276"/>
      <c r="H1386" s="1276"/>
      <c r="I1386" s="1276"/>
      <c r="J1386" s="452"/>
      <c r="K1386" s="467"/>
      <c r="L1386" s="541" t="s">
        <v>456</v>
      </c>
      <c r="M1386" s="544">
        <f>VLOOKUP(J1390,C1397:P1456,6)</f>
        <v>86815.890845175862</v>
      </c>
      <c r="N1386" s="544">
        <f>VLOOKUP(J1390,C1397:P1456,7)</f>
        <v>86815.890845175862</v>
      </c>
      <c r="O1386" s="545">
        <f>+N1386-M1386</f>
        <v>0</v>
      </c>
      <c r="Q1386" s="467"/>
    </row>
    <row r="1387" spans="1:17" ht="13.5" thickBot="1">
      <c r="C1387" s="481"/>
      <c r="D1387" s="4" t="s">
        <v>114</v>
      </c>
      <c r="E1387" s="483"/>
      <c r="F1387" s="483"/>
      <c r="G1387" s="483"/>
      <c r="H1387" s="483"/>
      <c r="I1387" s="483"/>
      <c r="J1387" s="452"/>
      <c r="K1387" s="467"/>
      <c r="L1387" s="492" t="s">
        <v>457</v>
      </c>
      <c r="M1387" s="546">
        <f>+M1386-M1385</f>
        <v>2393.7715939134214</v>
      </c>
      <c r="N1387" s="546">
        <f>+N1386-N1385</f>
        <v>2393.7715939134214</v>
      </c>
      <c r="O1387" s="547">
        <f>+O1386-O1385</f>
        <v>0</v>
      </c>
      <c r="Q1387" s="467"/>
    </row>
    <row r="1388" spans="1:17" ht="13.5" thickBot="1">
      <c r="C1388" s="481"/>
      <c r="D1388" s="4"/>
      <c r="E1388" s="483"/>
      <c r="F1388" s="483"/>
      <c r="G1388" s="483"/>
      <c r="H1388" s="483"/>
      <c r="I1388" s="483"/>
      <c r="J1388" s="483"/>
      <c r="K1388" s="483"/>
      <c r="L1388" s="483"/>
      <c r="M1388" s="483"/>
      <c r="N1388" s="483"/>
      <c r="O1388" s="483"/>
      <c r="Q1388" s="483"/>
    </row>
    <row r="1389" spans="1:17" ht="13.5" thickBot="1">
      <c r="C1389" s="484" t="s">
        <v>294</v>
      </c>
      <c r="D1389" s="485"/>
      <c r="E1389" s="485"/>
      <c r="F1389" s="485"/>
      <c r="G1389" s="485"/>
      <c r="H1389" s="485"/>
      <c r="I1389" s="485"/>
      <c r="J1389" s="485"/>
      <c r="Q1389"/>
    </row>
    <row r="1390" spans="1:17" ht="15">
      <c r="A1390" s="977"/>
      <c r="C1390" s="487" t="s">
        <v>272</v>
      </c>
      <c r="D1390" s="926">
        <v>620757.1</v>
      </c>
      <c r="E1390" s="4" t="s">
        <v>273</v>
      </c>
      <c r="H1390" s="79"/>
      <c r="I1390" s="79"/>
      <c r="J1390" s="488">
        <f>$J$95</f>
        <v>2025</v>
      </c>
      <c r="K1390" s="135"/>
      <c r="L1390" s="1287" t="s">
        <v>274</v>
      </c>
      <c r="M1390" s="1287"/>
      <c r="N1390" s="1287"/>
      <c r="O1390" s="1287"/>
      <c r="Q1390" s="135"/>
    </row>
    <row r="1391" spans="1:17">
      <c r="A1391" s="977"/>
      <c r="C1391" s="487" t="s">
        <v>275</v>
      </c>
      <c r="D1391" s="926">
        <v>2015</v>
      </c>
      <c r="E1391" s="487" t="s">
        <v>276</v>
      </c>
      <c r="F1391" s="79"/>
      <c r="G1391" s="79"/>
      <c r="I1391"/>
      <c r="J1391" s="638">
        <v>0</v>
      </c>
      <c r="K1391" s="489"/>
      <c r="L1391" s="467" t="s">
        <v>475</v>
      </c>
      <c r="Q1391" s="489"/>
    </row>
    <row r="1392" spans="1:17">
      <c r="A1392" s="977"/>
      <c r="C1392" s="487" t="s">
        <v>277</v>
      </c>
      <c r="D1392" s="926">
        <v>12</v>
      </c>
      <c r="E1392" s="487" t="s">
        <v>278</v>
      </c>
      <c r="F1392" s="79"/>
      <c r="G1392" s="79"/>
      <c r="I1392"/>
      <c r="J1392" s="490">
        <f>$F$70</f>
        <v>0.14996626714737105</v>
      </c>
      <c r="K1392" s="81"/>
      <c r="L1392" s="4" t="str">
        <f>"          INPUT TRUE-UP ARR (WITH &amp; WITHOUT INCENTIVES) FROM EACH PRIOR YEAR"</f>
        <v xml:space="preserve">          INPUT TRUE-UP ARR (WITH &amp; WITHOUT INCENTIVES) FROM EACH PRIOR YEAR</v>
      </c>
      <c r="Q1392" s="81"/>
    </row>
    <row r="1393" spans="1:17">
      <c r="A1393" s="977"/>
      <c r="C1393" s="487" t="s">
        <v>279</v>
      </c>
      <c r="D1393" s="491">
        <f>H79</f>
        <v>42</v>
      </c>
      <c r="E1393" s="487" t="s">
        <v>280</v>
      </c>
      <c r="F1393" s="79"/>
      <c r="G1393" s="79"/>
      <c r="I1393"/>
      <c r="J1393" s="490">
        <f>IF(H1384="",J1392,$F$69)</f>
        <v>0.14996626714737105</v>
      </c>
      <c r="K1393" s="81"/>
      <c r="L1393" s="4" t="s">
        <v>362</v>
      </c>
      <c r="M1393" s="81"/>
      <c r="N1393" s="81"/>
      <c r="O1393" s="81"/>
      <c r="Q1393" s="81"/>
    </row>
    <row r="1394" spans="1:17" ht="13.5" thickBot="1">
      <c r="A1394" s="977"/>
      <c r="C1394" s="487" t="s">
        <v>281</v>
      </c>
      <c r="D1394" s="637" t="s">
        <v>923</v>
      </c>
      <c r="E1394" s="492" t="s">
        <v>282</v>
      </c>
      <c r="F1394" s="493"/>
      <c r="G1394" s="493"/>
      <c r="H1394" s="494"/>
      <c r="I1394" s="494"/>
      <c r="J1394" s="480">
        <f>IF(D1390=0,0,D1390/D1393)</f>
        <v>14779.930952380952</v>
      </c>
      <c r="K1394" s="467"/>
      <c r="L1394" s="467" t="s">
        <v>363</v>
      </c>
      <c r="M1394" s="467"/>
      <c r="N1394" s="467"/>
      <c r="O1394" s="467"/>
      <c r="Q1394" s="467"/>
    </row>
    <row r="1395" spans="1:17" ht="38.25">
      <c r="A1395" s="12"/>
      <c r="B1395" s="12"/>
      <c r="C1395" s="495" t="s">
        <v>272</v>
      </c>
      <c r="D1395" s="496" t="s">
        <v>283</v>
      </c>
      <c r="E1395" s="497" t="s">
        <v>284</v>
      </c>
      <c r="F1395" s="496" t="s">
        <v>285</v>
      </c>
      <c r="G1395" s="496" t="s">
        <v>458</v>
      </c>
      <c r="H1395" s="497" t="s">
        <v>356</v>
      </c>
      <c r="I1395" s="498" t="s">
        <v>356</v>
      </c>
      <c r="J1395" s="495" t="s">
        <v>295</v>
      </c>
      <c r="K1395" s="499"/>
      <c r="L1395" s="497" t="s">
        <v>358</v>
      </c>
      <c r="M1395" s="497" t="s">
        <v>364</v>
      </c>
      <c r="N1395" s="497" t="s">
        <v>358</v>
      </c>
      <c r="O1395" s="497" t="s">
        <v>366</v>
      </c>
      <c r="P1395" s="497" t="s">
        <v>286</v>
      </c>
      <c r="Q1395" s="128"/>
    </row>
    <row r="1396" spans="1:17" ht="13.5" thickBot="1">
      <c r="C1396" s="500" t="s">
        <v>177</v>
      </c>
      <c r="D1396" s="501" t="s">
        <v>178</v>
      </c>
      <c r="E1396" s="500" t="s">
        <v>37</v>
      </c>
      <c r="F1396" s="501" t="s">
        <v>178</v>
      </c>
      <c r="G1396" s="501" t="s">
        <v>178</v>
      </c>
      <c r="H1396" s="502" t="s">
        <v>298</v>
      </c>
      <c r="I1396" s="503" t="s">
        <v>300</v>
      </c>
      <c r="J1396" s="500" t="s">
        <v>389</v>
      </c>
      <c r="K1396" s="504"/>
      <c r="L1396" s="502" t="s">
        <v>287</v>
      </c>
      <c r="M1396" s="502" t="s">
        <v>287</v>
      </c>
      <c r="N1396" s="502" t="s">
        <v>467</v>
      </c>
      <c r="O1396" s="502" t="s">
        <v>467</v>
      </c>
      <c r="P1396" s="502" t="s">
        <v>467</v>
      </c>
      <c r="Q1396" s="135"/>
    </row>
    <row r="1397" spans="1:17">
      <c r="C1397" s="505">
        <f>IF(D1391= "","-",D1391)</f>
        <v>2015</v>
      </c>
      <c r="D1397" s="469">
        <f>+D1390</f>
        <v>620757.1</v>
      </c>
      <c r="E1397" s="506">
        <f>+J1394/12*(12-D1392)</f>
        <v>0</v>
      </c>
      <c r="F1397" s="548">
        <f t="shared" ref="F1397:F1456" si="128">+D1397-E1397</f>
        <v>620757.1</v>
      </c>
      <c r="G1397" s="469">
        <f t="shared" ref="G1397:G1456" si="129">+(D1397+F1397)/2</f>
        <v>620757.1</v>
      </c>
      <c r="H1397" s="507">
        <f>+J1392*G1397+E1397</f>
        <v>93092.625092227318</v>
      </c>
      <c r="I1397" s="508">
        <f>+J1393*G1397+E1397</f>
        <v>93092.625092227318</v>
      </c>
      <c r="J1397" s="509">
        <f t="shared" ref="J1397:J1456" si="130">+I1397-H1397</f>
        <v>0</v>
      </c>
      <c r="K1397" s="509"/>
      <c r="L1397" s="513">
        <v>63382</v>
      </c>
      <c r="M1397" s="549">
        <f t="shared" ref="M1397:M1456" si="131">IF(L1397&lt;&gt;0,+H1397-L1397,0)</f>
        <v>29710.625092227318</v>
      </c>
      <c r="N1397" s="513">
        <v>63382</v>
      </c>
      <c r="O1397" s="549">
        <f t="shared" ref="O1397:O1456" si="132">IF(N1397&lt;&gt;0,+I1397-N1397,0)</f>
        <v>29710.625092227318</v>
      </c>
      <c r="P1397" s="549">
        <f t="shared" ref="P1397:P1456" si="133">+O1397-M1397</f>
        <v>0</v>
      </c>
      <c r="Q1397" s="471"/>
    </row>
    <row r="1398" spans="1:17">
      <c r="C1398" s="505">
        <f>IF(D1391="","-",+C1397+1)</f>
        <v>2016</v>
      </c>
      <c r="D1398" s="469">
        <f t="shared" ref="D1398:D1456" si="134">F1397</f>
        <v>620757.1</v>
      </c>
      <c r="E1398" s="511">
        <f>IF(D1398&gt;$J$1394,$J$1394,D1398)</f>
        <v>14779.930952380952</v>
      </c>
      <c r="F1398" s="511">
        <f t="shared" si="128"/>
        <v>605977.16904761898</v>
      </c>
      <c r="G1398" s="469">
        <f t="shared" si="129"/>
        <v>613367.13452380942</v>
      </c>
      <c r="H1398" s="506">
        <f>+J1392*G1398+E1398</f>
        <v>106764.31050779602</v>
      </c>
      <c r="I1398" s="512">
        <f>+J1393*G1398+E1398</f>
        <v>106764.31050779602</v>
      </c>
      <c r="J1398" s="509">
        <f t="shared" si="130"/>
        <v>0</v>
      </c>
      <c r="K1398" s="509"/>
      <c r="L1398" s="513"/>
      <c r="M1398" s="509">
        <f t="shared" si="131"/>
        <v>0</v>
      </c>
      <c r="N1398" s="513"/>
      <c r="O1398" s="509">
        <f t="shared" si="132"/>
        <v>0</v>
      </c>
      <c r="P1398" s="509">
        <f t="shared" si="133"/>
        <v>0</v>
      </c>
      <c r="Q1398" s="471"/>
    </row>
    <row r="1399" spans="1:17">
      <c r="C1399" s="505">
        <f>IF(D1391="","-",+C1398+1)</f>
        <v>2017</v>
      </c>
      <c r="D1399" s="469">
        <f t="shared" si="134"/>
        <v>605977.16904761898</v>
      </c>
      <c r="E1399" s="511">
        <f t="shared" ref="E1399:E1456" si="135">IF(D1399&gt;$J$1394,$J$1394,D1399)</f>
        <v>14779.930952380952</v>
      </c>
      <c r="F1399" s="511">
        <f t="shared" si="128"/>
        <v>591197.23809523799</v>
      </c>
      <c r="G1399" s="469">
        <f t="shared" si="129"/>
        <v>598587.20357142854</v>
      </c>
      <c r="H1399" s="506">
        <f>+J1392*G1399+E1399</f>
        <v>104547.81943417159</v>
      </c>
      <c r="I1399" s="512">
        <f>+J1393*G1399+E1399</f>
        <v>104547.81943417159</v>
      </c>
      <c r="J1399" s="509">
        <f t="shared" si="130"/>
        <v>0</v>
      </c>
      <c r="K1399" s="509"/>
      <c r="L1399" s="513">
        <v>28232</v>
      </c>
      <c r="M1399" s="509">
        <f t="shared" si="131"/>
        <v>76315.819434171586</v>
      </c>
      <c r="N1399" s="513">
        <v>28232</v>
      </c>
      <c r="O1399" s="509">
        <f t="shared" si="132"/>
        <v>76315.819434171586</v>
      </c>
      <c r="P1399" s="509">
        <f t="shared" si="133"/>
        <v>0</v>
      </c>
      <c r="Q1399" s="471"/>
    </row>
    <row r="1400" spans="1:17">
      <c r="C1400" s="505">
        <f>IF(D1391="","-",+C1399+1)</f>
        <v>2018</v>
      </c>
      <c r="D1400" s="469">
        <f t="shared" si="134"/>
        <v>591197.23809523799</v>
      </c>
      <c r="E1400" s="511">
        <f t="shared" si="135"/>
        <v>14779.930952380952</v>
      </c>
      <c r="F1400" s="511">
        <f t="shared" si="128"/>
        <v>576417.307142857</v>
      </c>
      <c r="G1400" s="469">
        <f t="shared" si="129"/>
        <v>583807.27261904744</v>
      </c>
      <c r="H1400" s="506">
        <f>+J1392*G1400+E1400</f>
        <v>102331.32836054709</v>
      </c>
      <c r="I1400" s="512">
        <f>+J1393*G1400+E1400</f>
        <v>102331.32836054709</v>
      </c>
      <c r="J1400" s="509">
        <f t="shared" si="130"/>
        <v>0</v>
      </c>
      <c r="K1400" s="509"/>
      <c r="L1400" s="513">
        <v>0</v>
      </c>
      <c r="M1400" s="509">
        <f t="shared" si="131"/>
        <v>0</v>
      </c>
      <c r="N1400" s="513">
        <v>0</v>
      </c>
      <c r="O1400" s="509">
        <f t="shared" si="132"/>
        <v>0</v>
      </c>
      <c r="P1400" s="509">
        <f t="shared" si="133"/>
        <v>0</v>
      </c>
      <c r="Q1400" s="471"/>
    </row>
    <row r="1401" spans="1:17">
      <c r="C1401" s="505">
        <f>IF(D1391="","-",+C1400+1)</f>
        <v>2019</v>
      </c>
      <c r="D1401" s="941">
        <f t="shared" si="134"/>
        <v>576417.307142857</v>
      </c>
      <c r="E1401" s="511">
        <f t="shared" si="135"/>
        <v>14779.930952380952</v>
      </c>
      <c r="F1401" s="511">
        <f t="shared" si="128"/>
        <v>561637.376190476</v>
      </c>
      <c r="G1401" s="469">
        <f t="shared" si="129"/>
        <v>569027.34166666656</v>
      </c>
      <c r="H1401" s="506">
        <f>+J1392*G1401+E1401</f>
        <v>100114.83728692264</v>
      </c>
      <c r="I1401" s="512">
        <f>+J1393*G1401+E1401</f>
        <v>100114.83728692264</v>
      </c>
      <c r="J1401" s="509">
        <f t="shared" si="130"/>
        <v>0</v>
      </c>
      <c r="K1401" s="509"/>
      <c r="L1401" s="513">
        <v>99924</v>
      </c>
      <c r="M1401" s="509">
        <f t="shared" si="131"/>
        <v>190.83728692264413</v>
      </c>
      <c r="N1401" s="513">
        <v>99924</v>
      </c>
      <c r="O1401" s="509">
        <f t="shared" si="132"/>
        <v>190.83728692264413</v>
      </c>
      <c r="P1401" s="509">
        <f t="shared" si="133"/>
        <v>0</v>
      </c>
      <c r="Q1401" s="471"/>
    </row>
    <row r="1402" spans="1:17">
      <c r="C1402" s="505">
        <f>IF(D1391="","-",+C1401+1)</f>
        <v>2020</v>
      </c>
      <c r="D1402" s="941">
        <f t="shared" si="134"/>
        <v>561637.376190476</v>
      </c>
      <c r="E1402" s="511">
        <f t="shared" si="135"/>
        <v>14779.930952380952</v>
      </c>
      <c r="F1402" s="511">
        <f t="shared" si="128"/>
        <v>546857.44523809501</v>
      </c>
      <c r="G1402" s="469">
        <f t="shared" si="129"/>
        <v>554247.41071428545</v>
      </c>
      <c r="H1402" s="506">
        <f>+J1392*G1402+E1402</f>
        <v>97898.346213298166</v>
      </c>
      <c r="I1402" s="512">
        <f>+J1393*G1402+E1402</f>
        <v>97898.346213298166</v>
      </c>
      <c r="J1402" s="509">
        <f t="shared" si="130"/>
        <v>0</v>
      </c>
      <c r="K1402" s="509"/>
      <c r="L1402" s="513">
        <v>96337.025415057258</v>
      </c>
      <c r="M1402" s="509">
        <f t="shared" si="131"/>
        <v>1561.3207982409076</v>
      </c>
      <c r="N1402" s="513">
        <v>96337.025415057258</v>
      </c>
      <c r="O1402" s="509">
        <f t="shared" si="132"/>
        <v>1561.3207982409076</v>
      </c>
      <c r="P1402" s="509">
        <f t="shared" si="133"/>
        <v>0</v>
      </c>
      <c r="Q1402" s="471"/>
    </row>
    <row r="1403" spans="1:17">
      <c r="C1403" s="505">
        <f>IF(D1391="","-",+C1402+1)</f>
        <v>2021</v>
      </c>
      <c r="D1403" s="941">
        <f t="shared" si="134"/>
        <v>546857.44523809501</v>
      </c>
      <c r="E1403" s="511">
        <f t="shared" si="135"/>
        <v>14779.930952380952</v>
      </c>
      <c r="F1403" s="511">
        <f t="shared" si="128"/>
        <v>532077.51428571402</v>
      </c>
      <c r="G1403" s="469">
        <f t="shared" si="129"/>
        <v>539467.47976190457</v>
      </c>
      <c r="H1403" s="506">
        <f>+J1392*G1403+E1403</f>
        <v>95681.855139673717</v>
      </c>
      <c r="I1403" s="512">
        <f>+J1393*G1403+E1403</f>
        <v>95681.855139673717</v>
      </c>
      <c r="J1403" s="509">
        <f t="shared" si="130"/>
        <v>0</v>
      </c>
      <c r="K1403" s="509"/>
      <c r="L1403" s="513">
        <v>91970.565562066244</v>
      </c>
      <c r="M1403" s="509">
        <f t="shared" si="131"/>
        <v>3711.2895776074729</v>
      </c>
      <c r="N1403" s="513">
        <v>91970.565562066244</v>
      </c>
      <c r="O1403" s="509">
        <f t="shared" si="132"/>
        <v>3711.2895776074729</v>
      </c>
      <c r="P1403" s="509">
        <f t="shared" si="133"/>
        <v>0</v>
      </c>
      <c r="Q1403" s="471"/>
    </row>
    <row r="1404" spans="1:17">
      <c r="C1404" s="505">
        <f>IF(D1391="","-",+C1403+1)</f>
        <v>2022</v>
      </c>
      <c r="D1404" s="469">
        <f t="shared" si="134"/>
        <v>532077.51428571402</v>
      </c>
      <c r="E1404" s="511">
        <f t="shared" si="135"/>
        <v>14779.930952380952</v>
      </c>
      <c r="F1404" s="511">
        <f t="shared" si="128"/>
        <v>517297.58333333308</v>
      </c>
      <c r="G1404" s="469">
        <f t="shared" si="129"/>
        <v>524687.54880952358</v>
      </c>
      <c r="H1404" s="506">
        <f>+J1392*G1404+E1404</f>
        <v>93465.364066049253</v>
      </c>
      <c r="I1404" s="512">
        <f>+J1393*G1404+E1404</f>
        <v>93465.364066049253</v>
      </c>
      <c r="J1404" s="509">
        <f t="shared" si="130"/>
        <v>0</v>
      </c>
      <c r="K1404" s="509"/>
      <c r="L1404" s="513">
        <v>90323.218909238232</v>
      </c>
      <c r="M1404" s="509">
        <f t="shared" si="131"/>
        <v>3142.1451568110206</v>
      </c>
      <c r="N1404" s="513">
        <v>90323.218909238232</v>
      </c>
      <c r="O1404" s="509">
        <f t="shared" si="132"/>
        <v>3142.1451568110206</v>
      </c>
      <c r="P1404" s="509">
        <f t="shared" si="133"/>
        <v>0</v>
      </c>
      <c r="Q1404" s="471"/>
    </row>
    <row r="1405" spans="1:17">
      <c r="C1405" s="505">
        <f>IF(D1391="","-",+C1404+1)</f>
        <v>2023</v>
      </c>
      <c r="D1405" s="469">
        <f t="shared" si="134"/>
        <v>517297.58333333308</v>
      </c>
      <c r="E1405" s="511">
        <f t="shared" si="135"/>
        <v>14779.930952380952</v>
      </c>
      <c r="F1405" s="511">
        <f t="shared" si="128"/>
        <v>502517.65238095215</v>
      </c>
      <c r="G1405" s="469">
        <f t="shared" si="129"/>
        <v>509907.61785714258</v>
      </c>
      <c r="H1405" s="506">
        <f>+J1392*G1405+E1405</f>
        <v>91248.872992424775</v>
      </c>
      <c r="I1405" s="512">
        <f>+J1393*G1405+E1405</f>
        <v>91248.872992424775</v>
      </c>
      <c r="J1405" s="509">
        <f t="shared" si="130"/>
        <v>0</v>
      </c>
      <c r="K1405" s="509"/>
      <c r="L1405" s="513">
        <v>91770.201345711786</v>
      </c>
      <c r="M1405" s="509">
        <f t="shared" si="131"/>
        <v>-521.32835328701185</v>
      </c>
      <c r="N1405" s="513">
        <v>91770.201345711786</v>
      </c>
      <c r="O1405" s="509">
        <f t="shared" si="132"/>
        <v>-521.32835328701185</v>
      </c>
      <c r="P1405" s="509">
        <f t="shared" si="133"/>
        <v>0</v>
      </c>
      <c r="Q1405" s="471"/>
    </row>
    <row r="1406" spans="1:17">
      <c r="C1406" s="963">
        <f>IF(D1391="","-",+C1405+1)</f>
        <v>2024</v>
      </c>
      <c r="D1406" s="469">
        <f t="shared" si="134"/>
        <v>502517.65238095215</v>
      </c>
      <c r="E1406" s="511">
        <f t="shared" si="135"/>
        <v>14779.930952380952</v>
      </c>
      <c r="F1406" s="511">
        <f t="shared" si="128"/>
        <v>487737.72142857121</v>
      </c>
      <c r="G1406" s="469">
        <f t="shared" si="129"/>
        <v>495127.68690476171</v>
      </c>
      <c r="H1406" s="506">
        <f>+J1392*G1406+E1406</f>
        <v>89032.38191880034</v>
      </c>
      <c r="I1406" s="512">
        <f>+J1393*G1406+E1406</f>
        <v>89032.38191880034</v>
      </c>
      <c r="J1406" s="509">
        <f t="shared" si="130"/>
        <v>0</v>
      </c>
      <c r="K1406" s="509"/>
      <c r="L1406" s="513">
        <v>89173.597057218853</v>
      </c>
      <c r="M1406" s="509">
        <f t="shared" si="131"/>
        <v>-141.21513841851265</v>
      </c>
      <c r="N1406" s="513">
        <v>89173.597057218853</v>
      </c>
      <c r="O1406" s="509">
        <f t="shared" si="132"/>
        <v>-141.21513841851265</v>
      </c>
      <c r="P1406" s="509">
        <f t="shared" si="133"/>
        <v>0</v>
      </c>
      <c r="Q1406" s="471"/>
    </row>
    <row r="1407" spans="1:17">
      <c r="C1407" s="505">
        <f>IF(D1391="","-",+C1406+1)</f>
        <v>2025</v>
      </c>
      <c r="D1407" s="469">
        <f t="shared" si="134"/>
        <v>487737.72142857121</v>
      </c>
      <c r="E1407" s="511">
        <f t="shared" si="135"/>
        <v>14779.930952380952</v>
      </c>
      <c r="F1407" s="511">
        <f t="shared" si="128"/>
        <v>472957.79047619028</v>
      </c>
      <c r="G1407" s="469">
        <f t="shared" si="129"/>
        <v>480347.75595238071</v>
      </c>
      <c r="H1407" s="506">
        <f>+J1392*G1407+E1407</f>
        <v>86815.890845175862</v>
      </c>
      <c r="I1407" s="512">
        <f>+J1393*G1407+E1407</f>
        <v>86815.890845175862</v>
      </c>
      <c r="J1407" s="509">
        <f t="shared" si="130"/>
        <v>0</v>
      </c>
      <c r="K1407" s="509"/>
      <c r="L1407" s="513">
        <v>84422.11925126244</v>
      </c>
      <c r="M1407" s="509">
        <f t="shared" si="131"/>
        <v>2393.7715939134214</v>
      </c>
      <c r="N1407" s="513">
        <v>84422.11925126244</v>
      </c>
      <c r="O1407" s="509">
        <f t="shared" si="132"/>
        <v>2393.7715939134214</v>
      </c>
      <c r="P1407" s="509">
        <f t="shared" si="133"/>
        <v>0</v>
      </c>
      <c r="Q1407" s="471"/>
    </row>
    <row r="1408" spans="1:17">
      <c r="C1408" s="505">
        <f>IF(D1391="","-",+C1407+1)</f>
        <v>2026</v>
      </c>
      <c r="D1408" s="469">
        <f t="shared" si="134"/>
        <v>472957.79047619028</v>
      </c>
      <c r="E1408" s="511">
        <f t="shared" si="135"/>
        <v>14779.930952380952</v>
      </c>
      <c r="F1408" s="511">
        <f t="shared" si="128"/>
        <v>458177.85952380934</v>
      </c>
      <c r="G1408" s="469">
        <f t="shared" si="129"/>
        <v>465567.82499999984</v>
      </c>
      <c r="H1408" s="506">
        <f>+J1392*G1408+E1408</f>
        <v>84599.399771551412</v>
      </c>
      <c r="I1408" s="512">
        <f>+J1393*G1408+E1408</f>
        <v>84599.399771551412</v>
      </c>
      <c r="J1408" s="509">
        <f t="shared" si="130"/>
        <v>0</v>
      </c>
      <c r="K1408" s="509"/>
      <c r="L1408" s="513"/>
      <c r="M1408" s="509">
        <f t="shared" si="131"/>
        <v>0</v>
      </c>
      <c r="N1408" s="513"/>
      <c r="O1408" s="509">
        <f t="shared" si="132"/>
        <v>0</v>
      </c>
      <c r="P1408" s="509">
        <f t="shared" si="133"/>
        <v>0</v>
      </c>
      <c r="Q1408" s="471"/>
    </row>
    <row r="1409" spans="3:17">
      <c r="C1409" s="505">
        <f>IF(D1391="","-",+C1408+1)</f>
        <v>2027</v>
      </c>
      <c r="D1409" s="469">
        <f t="shared" si="134"/>
        <v>458177.85952380934</v>
      </c>
      <c r="E1409" s="511">
        <f t="shared" si="135"/>
        <v>14779.930952380952</v>
      </c>
      <c r="F1409" s="511">
        <f t="shared" si="128"/>
        <v>443397.92857142841</v>
      </c>
      <c r="G1409" s="469">
        <f t="shared" si="129"/>
        <v>450787.89404761884</v>
      </c>
      <c r="H1409" s="506">
        <f>+J1392*G1409+E1409</f>
        <v>82382.908697926949</v>
      </c>
      <c r="I1409" s="512">
        <f>+J1393*G1409+E1409</f>
        <v>82382.908697926949</v>
      </c>
      <c r="J1409" s="509">
        <f t="shared" si="130"/>
        <v>0</v>
      </c>
      <c r="K1409" s="509"/>
      <c r="L1409" s="513"/>
      <c r="M1409" s="509">
        <f t="shared" si="131"/>
        <v>0</v>
      </c>
      <c r="N1409" s="513"/>
      <c r="O1409" s="509">
        <f t="shared" si="132"/>
        <v>0</v>
      </c>
      <c r="P1409" s="509">
        <f t="shared" si="133"/>
        <v>0</v>
      </c>
      <c r="Q1409" s="471"/>
    </row>
    <row r="1410" spans="3:17">
      <c r="C1410" s="505">
        <f>IF(D1391="","-",+C1409+1)</f>
        <v>2028</v>
      </c>
      <c r="D1410" s="469">
        <f t="shared" si="134"/>
        <v>443397.92857142841</v>
      </c>
      <c r="E1410" s="511">
        <f t="shared" si="135"/>
        <v>14779.930952380952</v>
      </c>
      <c r="F1410" s="511">
        <f t="shared" si="128"/>
        <v>428617.99761904747</v>
      </c>
      <c r="G1410" s="469">
        <f t="shared" si="129"/>
        <v>436007.96309523797</v>
      </c>
      <c r="H1410" s="506">
        <f>+J1392*G1410+E1410</f>
        <v>80166.417624302499</v>
      </c>
      <c r="I1410" s="512">
        <f>+J1393*G1410+E1410</f>
        <v>80166.417624302499</v>
      </c>
      <c r="J1410" s="509">
        <f t="shared" si="130"/>
        <v>0</v>
      </c>
      <c r="K1410" s="509"/>
      <c r="L1410" s="513"/>
      <c r="M1410" s="509">
        <f t="shared" si="131"/>
        <v>0</v>
      </c>
      <c r="N1410" s="513"/>
      <c r="O1410" s="509">
        <f t="shared" si="132"/>
        <v>0</v>
      </c>
      <c r="P1410" s="509">
        <f t="shared" si="133"/>
        <v>0</v>
      </c>
      <c r="Q1410" s="471"/>
    </row>
    <row r="1411" spans="3:17">
      <c r="C1411" s="505">
        <f>IF(D1391="","-",+C1410+1)</f>
        <v>2029</v>
      </c>
      <c r="D1411" s="469">
        <f t="shared" si="134"/>
        <v>428617.99761904747</v>
      </c>
      <c r="E1411" s="511">
        <f t="shared" si="135"/>
        <v>14779.930952380952</v>
      </c>
      <c r="F1411" s="511">
        <f t="shared" si="128"/>
        <v>413838.06666666653</v>
      </c>
      <c r="G1411" s="469">
        <f t="shared" si="129"/>
        <v>421228.03214285697</v>
      </c>
      <c r="H1411" s="506">
        <f>+J1392*G1411+E1411</f>
        <v>77949.926550678036</v>
      </c>
      <c r="I1411" s="512">
        <f>+J1393*G1411+E1411</f>
        <v>77949.926550678036</v>
      </c>
      <c r="J1411" s="509">
        <f t="shared" si="130"/>
        <v>0</v>
      </c>
      <c r="K1411" s="509"/>
      <c r="L1411" s="513"/>
      <c r="M1411" s="509">
        <f t="shared" si="131"/>
        <v>0</v>
      </c>
      <c r="N1411" s="513"/>
      <c r="O1411" s="509">
        <f t="shared" si="132"/>
        <v>0</v>
      </c>
      <c r="P1411" s="509">
        <f t="shared" si="133"/>
        <v>0</v>
      </c>
      <c r="Q1411" s="471"/>
    </row>
    <row r="1412" spans="3:17">
      <c r="C1412" s="505">
        <f>IF(D1391="","-",+C1411+1)</f>
        <v>2030</v>
      </c>
      <c r="D1412" s="469">
        <f t="shared" si="134"/>
        <v>413838.06666666653</v>
      </c>
      <c r="E1412" s="511">
        <f t="shared" si="135"/>
        <v>14779.930952380952</v>
      </c>
      <c r="F1412" s="511">
        <f t="shared" si="128"/>
        <v>399058.1357142856</v>
      </c>
      <c r="G1412" s="469">
        <f t="shared" si="129"/>
        <v>406448.1011904761</v>
      </c>
      <c r="H1412" s="506">
        <f>+J1392*G1412+E1412</f>
        <v>75733.435477053587</v>
      </c>
      <c r="I1412" s="512">
        <f>+J1393*G1412+E1412</f>
        <v>75733.435477053587</v>
      </c>
      <c r="J1412" s="509">
        <f t="shared" si="130"/>
        <v>0</v>
      </c>
      <c r="K1412" s="509"/>
      <c r="L1412" s="513"/>
      <c r="M1412" s="509">
        <f t="shared" si="131"/>
        <v>0</v>
      </c>
      <c r="N1412" s="513"/>
      <c r="O1412" s="509">
        <f t="shared" si="132"/>
        <v>0</v>
      </c>
      <c r="P1412" s="509">
        <f t="shared" si="133"/>
        <v>0</v>
      </c>
      <c r="Q1412" s="471"/>
    </row>
    <row r="1413" spans="3:17">
      <c r="C1413" s="505">
        <f>IF(D1391="","-",+C1412+1)</f>
        <v>2031</v>
      </c>
      <c r="D1413" s="469">
        <f t="shared" si="134"/>
        <v>399058.1357142856</v>
      </c>
      <c r="E1413" s="511">
        <f t="shared" si="135"/>
        <v>14779.930952380952</v>
      </c>
      <c r="F1413" s="511">
        <f t="shared" si="128"/>
        <v>384278.20476190466</v>
      </c>
      <c r="G1413" s="469">
        <f t="shared" si="129"/>
        <v>391668.1702380951</v>
      </c>
      <c r="H1413" s="506">
        <f>+J1392*G1413+E1413</f>
        <v>73516.944403429123</v>
      </c>
      <c r="I1413" s="512">
        <f>+J1393*G1413+E1413</f>
        <v>73516.944403429123</v>
      </c>
      <c r="J1413" s="509">
        <f t="shared" si="130"/>
        <v>0</v>
      </c>
      <c r="K1413" s="509"/>
      <c r="L1413" s="513"/>
      <c r="M1413" s="509">
        <f t="shared" si="131"/>
        <v>0</v>
      </c>
      <c r="N1413" s="513"/>
      <c r="O1413" s="509">
        <f t="shared" si="132"/>
        <v>0</v>
      </c>
      <c r="P1413" s="509">
        <f t="shared" si="133"/>
        <v>0</v>
      </c>
      <c r="Q1413" s="471"/>
    </row>
    <row r="1414" spans="3:17">
      <c r="C1414" s="505">
        <f>IF(D1391="","-",+C1413+1)</f>
        <v>2032</v>
      </c>
      <c r="D1414" s="469">
        <f t="shared" si="134"/>
        <v>384278.20476190466</v>
      </c>
      <c r="E1414" s="511">
        <f t="shared" si="135"/>
        <v>14779.930952380952</v>
      </c>
      <c r="F1414" s="511">
        <f t="shared" si="128"/>
        <v>369498.27380952373</v>
      </c>
      <c r="G1414" s="469">
        <f t="shared" si="129"/>
        <v>376888.23928571423</v>
      </c>
      <c r="H1414" s="506">
        <f>+J1392*G1414+E1414</f>
        <v>71300.453329804674</v>
      </c>
      <c r="I1414" s="512">
        <f>+J1393*G1414+E1414</f>
        <v>71300.453329804674</v>
      </c>
      <c r="J1414" s="509">
        <f t="shared" si="130"/>
        <v>0</v>
      </c>
      <c r="K1414" s="509"/>
      <c r="L1414" s="513"/>
      <c r="M1414" s="509">
        <f t="shared" si="131"/>
        <v>0</v>
      </c>
      <c r="N1414" s="513"/>
      <c r="O1414" s="509">
        <f t="shared" si="132"/>
        <v>0</v>
      </c>
      <c r="P1414" s="509">
        <f t="shared" si="133"/>
        <v>0</v>
      </c>
      <c r="Q1414" s="471"/>
    </row>
    <row r="1415" spans="3:17">
      <c r="C1415" s="505">
        <f>IF(D1391="","-",+C1414+1)</f>
        <v>2033</v>
      </c>
      <c r="D1415" s="469">
        <f t="shared" si="134"/>
        <v>369498.27380952373</v>
      </c>
      <c r="E1415" s="511">
        <f t="shared" si="135"/>
        <v>14779.930952380952</v>
      </c>
      <c r="F1415" s="511">
        <f t="shared" si="128"/>
        <v>354718.34285714279</v>
      </c>
      <c r="G1415" s="469">
        <f t="shared" si="129"/>
        <v>362108.30833333323</v>
      </c>
      <c r="H1415" s="506">
        <f>+J1392*G1415+E1415</f>
        <v>69083.96225618021</v>
      </c>
      <c r="I1415" s="512">
        <f>+J1393*G1415+E1415</f>
        <v>69083.96225618021</v>
      </c>
      <c r="J1415" s="509">
        <f t="shared" si="130"/>
        <v>0</v>
      </c>
      <c r="K1415" s="509"/>
      <c r="L1415" s="513"/>
      <c r="M1415" s="509">
        <f t="shared" si="131"/>
        <v>0</v>
      </c>
      <c r="N1415" s="513"/>
      <c r="O1415" s="509">
        <f t="shared" si="132"/>
        <v>0</v>
      </c>
      <c r="P1415" s="509">
        <f t="shared" si="133"/>
        <v>0</v>
      </c>
      <c r="Q1415" s="471"/>
    </row>
    <row r="1416" spans="3:17">
      <c r="C1416" s="505">
        <f>IF(D1391="","-",+C1415+1)</f>
        <v>2034</v>
      </c>
      <c r="D1416" s="469">
        <f t="shared" si="134"/>
        <v>354718.34285714279</v>
      </c>
      <c r="E1416" s="511">
        <f t="shared" si="135"/>
        <v>14779.930952380952</v>
      </c>
      <c r="F1416" s="511">
        <f t="shared" si="128"/>
        <v>339938.41190476186</v>
      </c>
      <c r="G1416" s="469">
        <f t="shared" si="129"/>
        <v>347328.37738095236</v>
      </c>
      <c r="H1416" s="506">
        <f>+J1392*G1416+E1416</f>
        <v>66867.471182555761</v>
      </c>
      <c r="I1416" s="512">
        <f>+J1393*G1416+E1416</f>
        <v>66867.471182555761</v>
      </c>
      <c r="J1416" s="509">
        <f t="shared" si="130"/>
        <v>0</v>
      </c>
      <c r="K1416" s="509"/>
      <c r="L1416" s="513"/>
      <c r="M1416" s="509">
        <f t="shared" si="131"/>
        <v>0</v>
      </c>
      <c r="N1416" s="513"/>
      <c r="O1416" s="509">
        <f t="shared" si="132"/>
        <v>0</v>
      </c>
      <c r="P1416" s="509">
        <f t="shared" si="133"/>
        <v>0</v>
      </c>
      <c r="Q1416" s="471"/>
    </row>
    <row r="1417" spans="3:17">
      <c r="C1417" s="505">
        <f>IF(D1391="","-",+C1416+1)</f>
        <v>2035</v>
      </c>
      <c r="D1417" s="469">
        <f t="shared" si="134"/>
        <v>339938.41190476186</v>
      </c>
      <c r="E1417" s="511">
        <f t="shared" si="135"/>
        <v>14779.930952380952</v>
      </c>
      <c r="F1417" s="511">
        <f t="shared" si="128"/>
        <v>325158.48095238092</v>
      </c>
      <c r="G1417" s="469">
        <f t="shared" si="129"/>
        <v>332548.44642857136</v>
      </c>
      <c r="H1417" s="506">
        <f>+J1392*G1417+E1417</f>
        <v>64650.98010893129</v>
      </c>
      <c r="I1417" s="512">
        <f>+J1393*G1417+E1417</f>
        <v>64650.98010893129</v>
      </c>
      <c r="J1417" s="509">
        <f t="shared" si="130"/>
        <v>0</v>
      </c>
      <c r="K1417" s="509"/>
      <c r="L1417" s="513"/>
      <c r="M1417" s="509">
        <f t="shared" si="131"/>
        <v>0</v>
      </c>
      <c r="N1417" s="513"/>
      <c r="O1417" s="509">
        <f t="shared" si="132"/>
        <v>0</v>
      </c>
      <c r="P1417" s="509">
        <f t="shared" si="133"/>
        <v>0</v>
      </c>
      <c r="Q1417" s="471"/>
    </row>
    <row r="1418" spans="3:17">
      <c r="C1418" s="505">
        <f>IF(D1391="","-",+C1417+1)</f>
        <v>2036</v>
      </c>
      <c r="D1418" s="469">
        <f t="shared" si="134"/>
        <v>325158.48095238092</v>
      </c>
      <c r="E1418" s="511">
        <f t="shared" si="135"/>
        <v>14779.930952380952</v>
      </c>
      <c r="F1418" s="511">
        <f t="shared" si="128"/>
        <v>310378.55</v>
      </c>
      <c r="G1418" s="469">
        <f t="shared" si="129"/>
        <v>317768.51547619049</v>
      </c>
      <c r="H1418" s="506">
        <f>+J1392*G1418+E1418</f>
        <v>62434.48903530684</v>
      </c>
      <c r="I1418" s="512">
        <f>+J1393*G1418+E1418</f>
        <v>62434.48903530684</v>
      </c>
      <c r="J1418" s="509">
        <f t="shared" si="130"/>
        <v>0</v>
      </c>
      <c r="K1418" s="509"/>
      <c r="L1418" s="513"/>
      <c r="M1418" s="509">
        <f t="shared" si="131"/>
        <v>0</v>
      </c>
      <c r="N1418" s="513"/>
      <c r="O1418" s="509">
        <f t="shared" si="132"/>
        <v>0</v>
      </c>
      <c r="P1418" s="509">
        <f t="shared" si="133"/>
        <v>0</v>
      </c>
      <c r="Q1418" s="471"/>
    </row>
    <row r="1419" spans="3:17">
      <c r="C1419" s="505">
        <f>IF(D1391="","-",+C1418+1)</f>
        <v>2037</v>
      </c>
      <c r="D1419" s="469">
        <f t="shared" si="134"/>
        <v>310378.55</v>
      </c>
      <c r="E1419" s="511">
        <f t="shared" si="135"/>
        <v>14779.930952380952</v>
      </c>
      <c r="F1419" s="511">
        <f t="shared" si="128"/>
        <v>295598.61904761905</v>
      </c>
      <c r="G1419" s="469">
        <f t="shared" si="129"/>
        <v>302988.58452380949</v>
      </c>
      <c r="H1419" s="506">
        <f>+J1392*G1419+E1419</f>
        <v>60217.997961682377</v>
      </c>
      <c r="I1419" s="512">
        <f>+J1393*G1419+E1419</f>
        <v>60217.997961682377</v>
      </c>
      <c r="J1419" s="509">
        <f t="shared" si="130"/>
        <v>0</v>
      </c>
      <c r="K1419" s="509"/>
      <c r="L1419" s="513"/>
      <c r="M1419" s="509">
        <f t="shared" si="131"/>
        <v>0</v>
      </c>
      <c r="N1419" s="513"/>
      <c r="O1419" s="509">
        <f t="shared" si="132"/>
        <v>0</v>
      </c>
      <c r="P1419" s="509">
        <f t="shared" si="133"/>
        <v>0</v>
      </c>
      <c r="Q1419" s="471"/>
    </row>
    <row r="1420" spans="3:17">
      <c r="C1420" s="505">
        <f>IF(D1391="","-",+C1419+1)</f>
        <v>2038</v>
      </c>
      <c r="D1420" s="469">
        <f t="shared" si="134"/>
        <v>295598.61904761905</v>
      </c>
      <c r="E1420" s="511">
        <f t="shared" si="135"/>
        <v>14779.930952380952</v>
      </c>
      <c r="F1420" s="511">
        <f t="shared" si="128"/>
        <v>280818.68809523812</v>
      </c>
      <c r="G1420" s="469">
        <f t="shared" si="129"/>
        <v>288208.65357142861</v>
      </c>
      <c r="H1420" s="506">
        <f>+J1392*G1420+E1420</f>
        <v>58001.506888057927</v>
      </c>
      <c r="I1420" s="512">
        <f>+J1393*G1420+E1420</f>
        <v>58001.506888057927</v>
      </c>
      <c r="J1420" s="509">
        <f t="shared" si="130"/>
        <v>0</v>
      </c>
      <c r="K1420" s="509"/>
      <c r="L1420" s="513"/>
      <c r="M1420" s="509">
        <f t="shared" si="131"/>
        <v>0</v>
      </c>
      <c r="N1420" s="513"/>
      <c r="O1420" s="509">
        <f t="shared" si="132"/>
        <v>0</v>
      </c>
      <c r="P1420" s="509">
        <f t="shared" si="133"/>
        <v>0</v>
      </c>
      <c r="Q1420" s="471"/>
    </row>
    <row r="1421" spans="3:17">
      <c r="C1421" s="505">
        <f>IF(D1391="","-",+C1420+1)</f>
        <v>2039</v>
      </c>
      <c r="D1421" s="469">
        <f t="shared" si="134"/>
        <v>280818.68809523812</v>
      </c>
      <c r="E1421" s="511">
        <f t="shared" si="135"/>
        <v>14779.930952380952</v>
      </c>
      <c r="F1421" s="511">
        <f t="shared" si="128"/>
        <v>266038.75714285718</v>
      </c>
      <c r="G1421" s="469">
        <f t="shared" si="129"/>
        <v>273428.72261904762</v>
      </c>
      <c r="H1421" s="506">
        <f>+J1392*G1421+E1421</f>
        <v>55785.015814433464</v>
      </c>
      <c r="I1421" s="512">
        <f>+J1393*G1421+E1421</f>
        <v>55785.015814433464</v>
      </c>
      <c r="J1421" s="509">
        <f t="shared" si="130"/>
        <v>0</v>
      </c>
      <c r="K1421" s="509"/>
      <c r="L1421" s="513"/>
      <c r="M1421" s="509">
        <f t="shared" si="131"/>
        <v>0</v>
      </c>
      <c r="N1421" s="513"/>
      <c r="O1421" s="509">
        <f t="shared" si="132"/>
        <v>0</v>
      </c>
      <c r="P1421" s="509">
        <f t="shared" si="133"/>
        <v>0</v>
      </c>
      <c r="Q1421" s="471"/>
    </row>
    <row r="1422" spans="3:17">
      <c r="C1422" s="505">
        <f>IF(D1391="","-",+C1421+1)</f>
        <v>2040</v>
      </c>
      <c r="D1422" s="469">
        <f t="shared" si="134"/>
        <v>266038.75714285718</v>
      </c>
      <c r="E1422" s="511">
        <f t="shared" si="135"/>
        <v>14779.930952380952</v>
      </c>
      <c r="F1422" s="511">
        <f t="shared" si="128"/>
        <v>251258.82619047622</v>
      </c>
      <c r="G1422" s="469">
        <f t="shared" si="129"/>
        <v>258648.79166666669</v>
      </c>
      <c r="H1422" s="506">
        <f>+J1392*G1422+E1422</f>
        <v>53568.524740809007</v>
      </c>
      <c r="I1422" s="512">
        <f>+J1393*G1422+E1422</f>
        <v>53568.524740809007</v>
      </c>
      <c r="J1422" s="509">
        <f t="shared" si="130"/>
        <v>0</v>
      </c>
      <c r="K1422" s="509"/>
      <c r="L1422" s="513"/>
      <c r="M1422" s="509">
        <f t="shared" si="131"/>
        <v>0</v>
      </c>
      <c r="N1422" s="513"/>
      <c r="O1422" s="509">
        <f t="shared" si="132"/>
        <v>0</v>
      </c>
      <c r="P1422" s="509">
        <f t="shared" si="133"/>
        <v>0</v>
      </c>
      <c r="Q1422" s="471"/>
    </row>
    <row r="1423" spans="3:17">
      <c r="C1423" s="505">
        <f>IF(D1391="","-",+C1422+1)</f>
        <v>2041</v>
      </c>
      <c r="D1423" s="469">
        <f t="shared" si="134"/>
        <v>251258.82619047622</v>
      </c>
      <c r="E1423" s="511">
        <f t="shared" si="135"/>
        <v>14779.930952380952</v>
      </c>
      <c r="F1423" s="511">
        <f t="shared" si="128"/>
        <v>236478.89523809525</v>
      </c>
      <c r="G1423" s="469">
        <f t="shared" si="129"/>
        <v>243868.86071428575</v>
      </c>
      <c r="H1423" s="506">
        <f>+J1392*G1423+E1423</f>
        <v>51352.033667184543</v>
      </c>
      <c r="I1423" s="512">
        <f>+J1393*G1423+E1423</f>
        <v>51352.033667184543</v>
      </c>
      <c r="J1423" s="509">
        <f t="shared" si="130"/>
        <v>0</v>
      </c>
      <c r="K1423" s="509"/>
      <c r="L1423" s="513"/>
      <c r="M1423" s="509">
        <f t="shared" si="131"/>
        <v>0</v>
      </c>
      <c r="N1423" s="513"/>
      <c r="O1423" s="509">
        <f t="shared" si="132"/>
        <v>0</v>
      </c>
      <c r="P1423" s="509">
        <f t="shared" si="133"/>
        <v>0</v>
      </c>
      <c r="Q1423" s="471"/>
    </row>
    <row r="1424" spans="3:17">
      <c r="C1424" s="505">
        <f>IF(D1391="","-",+C1423+1)</f>
        <v>2042</v>
      </c>
      <c r="D1424" s="469">
        <f t="shared" si="134"/>
        <v>236478.89523809525</v>
      </c>
      <c r="E1424" s="511">
        <f t="shared" si="135"/>
        <v>14779.930952380952</v>
      </c>
      <c r="F1424" s="511">
        <f t="shared" si="128"/>
        <v>221698.96428571429</v>
      </c>
      <c r="G1424" s="469">
        <f t="shared" si="129"/>
        <v>229088.92976190476</v>
      </c>
      <c r="H1424" s="506">
        <f>+J1392*G1424+E1424</f>
        <v>49135.54259356008</v>
      </c>
      <c r="I1424" s="512">
        <f>+J1393*G1424+E1424</f>
        <v>49135.54259356008</v>
      </c>
      <c r="J1424" s="509">
        <f t="shared" si="130"/>
        <v>0</v>
      </c>
      <c r="K1424" s="509"/>
      <c r="L1424" s="513"/>
      <c r="M1424" s="509">
        <f t="shared" si="131"/>
        <v>0</v>
      </c>
      <c r="N1424" s="513"/>
      <c r="O1424" s="509">
        <f t="shared" si="132"/>
        <v>0</v>
      </c>
      <c r="P1424" s="509">
        <f t="shared" si="133"/>
        <v>0</v>
      </c>
      <c r="Q1424" s="471"/>
    </row>
    <row r="1425" spans="3:17">
      <c r="C1425" s="505">
        <f>IF(D1391="","-",+C1424+1)</f>
        <v>2043</v>
      </c>
      <c r="D1425" s="469">
        <f t="shared" si="134"/>
        <v>221698.96428571429</v>
      </c>
      <c r="E1425" s="511">
        <f t="shared" si="135"/>
        <v>14779.930952380952</v>
      </c>
      <c r="F1425" s="511">
        <f t="shared" si="128"/>
        <v>206919.03333333333</v>
      </c>
      <c r="G1425" s="469">
        <f t="shared" si="129"/>
        <v>214308.99880952382</v>
      </c>
      <c r="H1425" s="506">
        <f>+J1392*G1425+E1425</f>
        <v>46919.051519935623</v>
      </c>
      <c r="I1425" s="512">
        <f>+J1393*G1425+E1425</f>
        <v>46919.051519935623</v>
      </c>
      <c r="J1425" s="509">
        <f t="shared" si="130"/>
        <v>0</v>
      </c>
      <c r="K1425" s="509"/>
      <c r="L1425" s="513"/>
      <c r="M1425" s="509">
        <f t="shared" si="131"/>
        <v>0</v>
      </c>
      <c r="N1425" s="513"/>
      <c r="O1425" s="509">
        <f t="shared" si="132"/>
        <v>0</v>
      </c>
      <c r="P1425" s="509">
        <f t="shared" si="133"/>
        <v>0</v>
      </c>
      <c r="Q1425" s="471"/>
    </row>
    <row r="1426" spans="3:17">
      <c r="C1426" s="505">
        <f>IF(D1391="","-",+C1425+1)</f>
        <v>2044</v>
      </c>
      <c r="D1426" s="469">
        <f t="shared" si="134"/>
        <v>206919.03333333333</v>
      </c>
      <c r="E1426" s="511">
        <f t="shared" si="135"/>
        <v>14779.930952380952</v>
      </c>
      <c r="F1426" s="511">
        <f t="shared" si="128"/>
        <v>192139.10238095236</v>
      </c>
      <c r="G1426" s="469">
        <f t="shared" si="129"/>
        <v>199529.06785714283</v>
      </c>
      <c r="H1426" s="506">
        <f>+J1392*G1426+E1426</f>
        <v>44702.560446311159</v>
      </c>
      <c r="I1426" s="512">
        <f>+J1393*G1426+E1426</f>
        <v>44702.560446311159</v>
      </c>
      <c r="J1426" s="509">
        <f t="shared" si="130"/>
        <v>0</v>
      </c>
      <c r="K1426" s="509"/>
      <c r="L1426" s="513"/>
      <c r="M1426" s="509">
        <f t="shared" si="131"/>
        <v>0</v>
      </c>
      <c r="N1426" s="513"/>
      <c r="O1426" s="509">
        <f t="shared" si="132"/>
        <v>0</v>
      </c>
      <c r="P1426" s="509">
        <f t="shared" si="133"/>
        <v>0</v>
      </c>
      <c r="Q1426" s="471"/>
    </row>
    <row r="1427" spans="3:17">
      <c r="C1427" s="505">
        <f>IF(D1391="","-",+C1426+1)</f>
        <v>2045</v>
      </c>
      <c r="D1427" s="469">
        <f t="shared" si="134"/>
        <v>192139.10238095236</v>
      </c>
      <c r="E1427" s="511">
        <f t="shared" si="135"/>
        <v>14779.930952380952</v>
      </c>
      <c r="F1427" s="511">
        <f t="shared" si="128"/>
        <v>177359.1714285714</v>
      </c>
      <c r="G1427" s="469">
        <f t="shared" si="129"/>
        <v>184749.13690476189</v>
      </c>
      <c r="H1427" s="506">
        <f>+J1392*G1427+E1427</f>
        <v>42486.069372686703</v>
      </c>
      <c r="I1427" s="512">
        <f>+J1393*G1427+E1427</f>
        <v>42486.069372686703</v>
      </c>
      <c r="J1427" s="509">
        <f t="shared" si="130"/>
        <v>0</v>
      </c>
      <c r="K1427" s="509"/>
      <c r="L1427" s="513"/>
      <c r="M1427" s="509">
        <f t="shared" si="131"/>
        <v>0</v>
      </c>
      <c r="N1427" s="513"/>
      <c r="O1427" s="509">
        <f t="shared" si="132"/>
        <v>0</v>
      </c>
      <c r="P1427" s="509">
        <f t="shared" si="133"/>
        <v>0</v>
      </c>
      <c r="Q1427" s="471"/>
    </row>
    <row r="1428" spans="3:17">
      <c r="C1428" s="505">
        <f>IF(D1391="","-",+C1427+1)</f>
        <v>2046</v>
      </c>
      <c r="D1428" s="469">
        <f t="shared" si="134"/>
        <v>177359.1714285714</v>
      </c>
      <c r="E1428" s="511">
        <f t="shared" si="135"/>
        <v>14779.930952380952</v>
      </c>
      <c r="F1428" s="511">
        <f t="shared" si="128"/>
        <v>162579.24047619043</v>
      </c>
      <c r="G1428" s="469">
        <f t="shared" si="129"/>
        <v>169969.2059523809</v>
      </c>
      <c r="H1428" s="506">
        <f>+J1392*G1428+E1428</f>
        <v>40269.578299062232</v>
      </c>
      <c r="I1428" s="512">
        <f>+J1393*G1428+E1428</f>
        <v>40269.578299062232</v>
      </c>
      <c r="J1428" s="509">
        <f t="shared" si="130"/>
        <v>0</v>
      </c>
      <c r="K1428" s="509"/>
      <c r="L1428" s="513"/>
      <c r="M1428" s="509">
        <f t="shared" si="131"/>
        <v>0</v>
      </c>
      <c r="N1428" s="513"/>
      <c r="O1428" s="509">
        <f t="shared" si="132"/>
        <v>0</v>
      </c>
      <c r="P1428" s="509">
        <f t="shared" si="133"/>
        <v>0</v>
      </c>
      <c r="Q1428" s="471"/>
    </row>
    <row r="1429" spans="3:17">
      <c r="C1429" s="505">
        <f>IF(D1391="","-",+C1428+1)</f>
        <v>2047</v>
      </c>
      <c r="D1429" s="469">
        <f t="shared" si="134"/>
        <v>162579.24047619043</v>
      </c>
      <c r="E1429" s="511">
        <f t="shared" si="135"/>
        <v>14779.930952380952</v>
      </c>
      <c r="F1429" s="511">
        <f t="shared" si="128"/>
        <v>147799.30952380947</v>
      </c>
      <c r="G1429" s="469">
        <f t="shared" si="129"/>
        <v>155189.27499999997</v>
      </c>
      <c r="H1429" s="506">
        <f>+J1392*G1429+E1429</f>
        <v>38053.087225437775</v>
      </c>
      <c r="I1429" s="512">
        <f>+J1393*G1429+E1429</f>
        <v>38053.087225437775</v>
      </c>
      <c r="J1429" s="509">
        <f t="shared" si="130"/>
        <v>0</v>
      </c>
      <c r="K1429" s="509"/>
      <c r="L1429" s="513"/>
      <c r="M1429" s="509">
        <f t="shared" si="131"/>
        <v>0</v>
      </c>
      <c r="N1429" s="513"/>
      <c r="O1429" s="509">
        <f t="shared" si="132"/>
        <v>0</v>
      </c>
      <c r="P1429" s="509">
        <f t="shared" si="133"/>
        <v>0</v>
      </c>
      <c r="Q1429" s="471"/>
    </row>
    <row r="1430" spans="3:17">
      <c r="C1430" s="505">
        <f>IF(D1391="","-",+C1429+1)</f>
        <v>2048</v>
      </c>
      <c r="D1430" s="469">
        <f t="shared" si="134"/>
        <v>147799.30952380947</v>
      </c>
      <c r="E1430" s="511">
        <f t="shared" si="135"/>
        <v>14779.930952380952</v>
      </c>
      <c r="F1430" s="511">
        <f t="shared" si="128"/>
        <v>133019.3785714285</v>
      </c>
      <c r="G1430" s="469">
        <f t="shared" si="129"/>
        <v>140409.34404761897</v>
      </c>
      <c r="H1430" s="506">
        <f>+J1392*G1430+E1430</f>
        <v>35836.596151813312</v>
      </c>
      <c r="I1430" s="512">
        <f>+J1393*G1430+E1430</f>
        <v>35836.596151813312</v>
      </c>
      <c r="J1430" s="509">
        <f t="shared" si="130"/>
        <v>0</v>
      </c>
      <c r="K1430" s="509"/>
      <c r="L1430" s="513"/>
      <c r="M1430" s="509">
        <f t="shared" si="131"/>
        <v>0</v>
      </c>
      <c r="N1430" s="513"/>
      <c r="O1430" s="509">
        <f t="shared" si="132"/>
        <v>0</v>
      </c>
      <c r="P1430" s="509">
        <f t="shared" si="133"/>
        <v>0</v>
      </c>
      <c r="Q1430" s="471"/>
    </row>
    <row r="1431" spans="3:17">
      <c r="C1431" s="505">
        <f>IF(D1391="","-",+C1430+1)</f>
        <v>2049</v>
      </c>
      <c r="D1431" s="469">
        <f t="shared" si="134"/>
        <v>133019.3785714285</v>
      </c>
      <c r="E1431" s="511">
        <f t="shared" si="135"/>
        <v>14779.930952380952</v>
      </c>
      <c r="F1431" s="511">
        <f t="shared" si="128"/>
        <v>118239.44761904755</v>
      </c>
      <c r="G1431" s="469">
        <f t="shared" si="129"/>
        <v>125629.41309523804</v>
      </c>
      <c r="H1431" s="506">
        <f>+J1392*G1431+E1431</f>
        <v>33620.105078188855</v>
      </c>
      <c r="I1431" s="512">
        <f>+J1393*G1431+E1431</f>
        <v>33620.105078188855</v>
      </c>
      <c r="J1431" s="509">
        <f t="shared" si="130"/>
        <v>0</v>
      </c>
      <c r="K1431" s="509"/>
      <c r="L1431" s="513"/>
      <c r="M1431" s="509">
        <f t="shared" si="131"/>
        <v>0</v>
      </c>
      <c r="N1431" s="513"/>
      <c r="O1431" s="509">
        <f t="shared" si="132"/>
        <v>0</v>
      </c>
      <c r="P1431" s="509">
        <f t="shared" si="133"/>
        <v>0</v>
      </c>
      <c r="Q1431" s="471"/>
    </row>
    <row r="1432" spans="3:17">
      <c r="C1432" s="505">
        <f>IF(D1391="","-",+C1431+1)</f>
        <v>2050</v>
      </c>
      <c r="D1432" s="469">
        <f t="shared" si="134"/>
        <v>118239.44761904755</v>
      </c>
      <c r="E1432" s="511">
        <f t="shared" si="135"/>
        <v>14779.930952380952</v>
      </c>
      <c r="F1432" s="511">
        <f t="shared" si="128"/>
        <v>103459.5166666666</v>
      </c>
      <c r="G1432" s="469">
        <f t="shared" si="129"/>
        <v>110849.48214285707</v>
      </c>
      <c r="H1432" s="506">
        <f>+J1392*G1432+E1432</f>
        <v>31403.614004564392</v>
      </c>
      <c r="I1432" s="512">
        <f>+J1393*G1432+E1432</f>
        <v>31403.614004564392</v>
      </c>
      <c r="J1432" s="509">
        <f t="shared" si="130"/>
        <v>0</v>
      </c>
      <c r="K1432" s="509"/>
      <c r="L1432" s="513"/>
      <c r="M1432" s="509">
        <f t="shared" si="131"/>
        <v>0</v>
      </c>
      <c r="N1432" s="513"/>
      <c r="O1432" s="509">
        <f t="shared" si="132"/>
        <v>0</v>
      </c>
      <c r="P1432" s="509">
        <f t="shared" si="133"/>
        <v>0</v>
      </c>
      <c r="Q1432" s="471"/>
    </row>
    <row r="1433" spans="3:17">
      <c r="C1433" s="505">
        <f>IF(D1391="","-",+C1432+1)</f>
        <v>2051</v>
      </c>
      <c r="D1433" s="469">
        <f t="shared" si="134"/>
        <v>103459.5166666666</v>
      </c>
      <c r="E1433" s="511">
        <f t="shared" si="135"/>
        <v>14779.930952380952</v>
      </c>
      <c r="F1433" s="511">
        <f t="shared" si="128"/>
        <v>88679.585714285655</v>
      </c>
      <c r="G1433" s="469">
        <f t="shared" si="129"/>
        <v>96069.551190476137</v>
      </c>
      <c r="H1433" s="506">
        <f>+J1392*G1433+E1433</f>
        <v>29187.122930939935</v>
      </c>
      <c r="I1433" s="512">
        <f>+J1393*G1433+E1433</f>
        <v>29187.122930939935</v>
      </c>
      <c r="J1433" s="509">
        <f t="shared" si="130"/>
        <v>0</v>
      </c>
      <c r="K1433" s="509"/>
      <c r="L1433" s="513"/>
      <c r="M1433" s="509">
        <f t="shared" si="131"/>
        <v>0</v>
      </c>
      <c r="N1433" s="513"/>
      <c r="O1433" s="509">
        <f t="shared" si="132"/>
        <v>0</v>
      </c>
      <c r="P1433" s="509">
        <f t="shared" si="133"/>
        <v>0</v>
      </c>
      <c r="Q1433" s="471"/>
    </row>
    <row r="1434" spans="3:17">
      <c r="C1434" s="505">
        <f>IF(D1391="","-",+C1433+1)</f>
        <v>2052</v>
      </c>
      <c r="D1434" s="469">
        <f t="shared" si="134"/>
        <v>88679.585714285655</v>
      </c>
      <c r="E1434" s="511">
        <f t="shared" si="135"/>
        <v>14779.930952380952</v>
      </c>
      <c r="F1434" s="511">
        <f t="shared" si="128"/>
        <v>73899.654761904705</v>
      </c>
      <c r="G1434" s="469">
        <f t="shared" si="129"/>
        <v>81289.620238095173</v>
      </c>
      <c r="H1434" s="506">
        <f>+J1392*G1434+E1434</f>
        <v>26970.631857315471</v>
      </c>
      <c r="I1434" s="512">
        <f>+J1393*G1434+E1434</f>
        <v>26970.631857315471</v>
      </c>
      <c r="J1434" s="509">
        <f t="shared" si="130"/>
        <v>0</v>
      </c>
      <c r="K1434" s="509"/>
      <c r="L1434" s="513"/>
      <c r="M1434" s="509">
        <f t="shared" si="131"/>
        <v>0</v>
      </c>
      <c r="N1434" s="513"/>
      <c r="O1434" s="509">
        <f t="shared" si="132"/>
        <v>0</v>
      </c>
      <c r="P1434" s="509">
        <f t="shared" si="133"/>
        <v>0</v>
      </c>
      <c r="Q1434" s="471"/>
    </row>
    <row r="1435" spans="3:17">
      <c r="C1435" s="505">
        <f>IF(D1391="","-",+C1434+1)</f>
        <v>2053</v>
      </c>
      <c r="D1435" s="469">
        <f t="shared" si="134"/>
        <v>73899.654761904705</v>
      </c>
      <c r="E1435" s="511">
        <f t="shared" si="135"/>
        <v>14779.930952380952</v>
      </c>
      <c r="F1435" s="511">
        <f t="shared" si="128"/>
        <v>59119.723809523755</v>
      </c>
      <c r="G1435" s="469">
        <f t="shared" si="129"/>
        <v>66509.689285714237</v>
      </c>
      <c r="H1435" s="506">
        <f>+J1392*G1435+E1435</f>
        <v>24754.140783691015</v>
      </c>
      <c r="I1435" s="512">
        <f>+J1393*G1435+E1435</f>
        <v>24754.140783691015</v>
      </c>
      <c r="J1435" s="509">
        <f t="shared" si="130"/>
        <v>0</v>
      </c>
      <c r="K1435" s="509"/>
      <c r="L1435" s="513"/>
      <c r="M1435" s="509">
        <f t="shared" si="131"/>
        <v>0</v>
      </c>
      <c r="N1435" s="513"/>
      <c r="O1435" s="509">
        <f t="shared" si="132"/>
        <v>0</v>
      </c>
      <c r="P1435" s="509">
        <f t="shared" si="133"/>
        <v>0</v>
      </c>
      <c r="Q1435" s="471"/>
    </row>
    <row r="1436" spans="3:17">
      <c r="C1436" s="505">
        <f>IF(D1391="","-",+C1435+1)</f>
        <v>2054</v>
      </c>
      <c r="D1436" s="469">
        <f t="shared" si="134"/>
        <v>59119.723809523755</v>
      </c>
      <c r="E1436" s="511">
        <f t="shared" si="135"/>
        <v>14779.930952380952</v>
      </c>
      <c r="F1436" s="511">
        <f t="shared" si="128"/>
        <v>44339.792857142806</v>
      </c>
      <c r="G1436" s="469">
        <f t="shared" si="129"/>
        <v>51729.75833333328</v>
      </c>
      <c r="H1436" s="506">
        <f>+J1392*G1436+E1436</f>
        <v>22537.649710066555</v>
      </c>
      <c r="I1436" s="512">
        <f>+J1393*G1436+E1436</f>
        <v>22537.649710066555</v>
      </c>
      <c r="J1436" s="509">
        <f t="shared" si="130"/>
        <v>0</v>
      </c>
      <c r="K1436" s="509"/>
      <c r="L1436" s="513"/>
      <c r="M1436" s="509">
        <f t="shared" si="131"/>
        <v>0</v>
      </c>
      <c r="N1436" s="513"/>
      <c r="O1436" s="509">
        <f t="shared" si="132"/>
        <v>0</v>
      </c>
      <c r="P1436" s="509">
        <f t="shared" si="133"/>
        <v>0</v>
      </c>
      <c r="Q1436" s="471"/>
    </row>
    <row r="1437" spans="3:17">
      <c r="C1437" s="505">
        <f>IF(D1391="","-",+C1436+1)</f>
        <v>2055</v>
      </c>
      <c r="D1437" s="469">
        <f t="shared" si="134"/>
        <v>44339.792857142806</v>
      </c>
      <c r="E1437" s="511">
        <f t="shared" si="135"/>
        <v>14779.930952380952</v>
      </c>
      <c r="F1437" s="511">
        <f t="shared" si="128"/>
        <v>29559.861904761856</v>
      </c>
      <c r="G1437" s="469">
        <f t="shared" si="129"/>
        <v>36949.827380952331</v>
      </c>
      <c r="H1437" s="506">
        <f>+J1392*G1437+E1437</f>
        <v>20321.158636442095</v>
      </c>
      <c r="I1437" s="512">
        <f>+J1393*G1437+E1437</f>
        <v>20321.158636442095</v>
      </c>
      <c r="J1437" s="509">
        <f t="shared" si="130"/>
        <v>0</v>
      </c>
      <c r="K1437" s="509"/>
      <c r="L1437" s="513"/>
      <c r="M1437" s="509">
        <f t="shared" si="131"/>
        <v>0</v>
      </c>
      <c r="N1437" s="513"/>
      <c r="O1437" s="509">
        <f t="shared" si="132"/>
        <v>0</v>
      </c>
      <c r="P1437" s="509">
        <f t="shared" si="133"/>
        <v>0</v>
      </c>
      <c r="Q1437" s="471"/>
    </row>
    <row r="1438" spans="3:17">
      <c r="C1438" s="505">
        <f>IF(D1391="","-",+C1437+1)</f>
        <v>2056</v>
      </c>
      <c r="D1438" s="469">
        <f t="shared" si="134"/>
        <v>29559.861904761856</v>
      </c>
      <c r="E1438" s="511">
        <f t="shared" si="135"/>
        <v>14779.930952380952</v>
      </c>
      <c r="F1438" s="511">
        <f t="shared" si="128"/>
        <v>14779.930952380904</v>
      </c>
      <c r="G1438" s="469">
        <f t="shared" si="129"/>
        <v>22169.896428571381</v>
      </c>
      <c r="H1438" s="506">
        <f>+J1392*G1438+E1438</f>
        <v>18104.667562817634</v>
      </c>
      <c r="I1438" s="512">
        <f>+J1393*G1438+E1438</f>
        <v>18104.667562817634</v>
      </c>
      <c r="J1438" s="509">
        <f t="shared" si="130"/>
        <v>0</v>
      </c>
      <c r="K1438" s="509"/>
      <c r="L1438" s="513"/>
      <c r="M1438" s="509">
        <f t="shared" si="131"/>
        <v>0</v>
      </c>
      <c r="N1438" s="513"/>
      <c r="O1438" s="509">
        <f t="shared" si="132"/>
        <v>0</v>
      </c>
      <c r="P1438" s="509">
        <f t="shared" si="133"/>
        <v>0</v>
      </c>
      <c r="Q1438" s="471"/>
    </row>
    <row r="1439" spans="3:17">
      <c r="C1439" s="505">
        <f>IF(D1391="","-",+C1438+1)</f>
        <v>2057</v>
      </c>
      <c r="D1439" s="469">
        <f t="shared" si="134"/>
        <v>14779.930952380904</v>
      </c>
      <c r="E1439" s="511">
        <f t="shared" si="135"/>
        <v>14779.930952380904</v>
      </c>
      <c r="F1439" s="511">
        <f t="shared" si="128"/>
        <v>0</v>
      </c>
      <c r="G1439" s="469">
        <f t="shared" si="129"/>
        <v>7389.9654761904521</v>
      </c>
      <c r="H1439" s="506">
        <f>+J1392*G1439+E1439</f>
        <v>15888.176489193131</v>
      </c>
      <c r="I1439" s="512">
        <f>+J1393*G1439+E1439</f>
        <v>15888.176489193131</v>
      </c>
      <c r="J1439" s="509">
        <f t="shared" si="130"/>
        <v>0</v>
      </c>
      <c r="K1439" s="509"/>
      <c r="L1439" s="513"/>
      <c r="M1439" s="509">
        <f t="shared" si="131"/>
        <v>0</v>
      </c>
      <c r="N1439" s="513"/>
      <c r="O1439" s="509">
        <f t="shared" si="132"/>
        <v>0</v>
      </c>
      <c r="P1439" s="509">
        <f t="shared" si="133"/>
        <v>0</v>
      </c>
      <c r="Q1439" s="471"/>
    </row>
    <row r="1440" spans="3:17">
      <c r="C1440" s="505">
        <f>IF(D1391="","-",+C1439+1)</f>
        <v>2058</v>
      </c>
      <c r="D1440" s="469">
        <f t="shared" si="134"/>
        <v>0</v>
      </c>
      <c r="E1440" s="511">
        <f t="shared" si="135"/>
        <v>0</v>
      </c>
      <c r="F1440" s="511">
        <f t="shared" si="128"/>
        <v>0</v>
      </c>
      <c r="G1440" s="469">
        <f t="shared" si="129"/>
        <v>0</v>
      </c>
      <c r="H1440" s="506">
        <f>+J1392*G1440+E1440</f>
        <v>0</v>
      </c>
      <c r="I1440" s="512">
        <f>+J1393*G1440+E1440</f>
        <v>0</v>
      </c>
      <c r="J1440" s="509">
        <f t="shared" si="130"/>
        <v>0</v>
      </c>
      <c r="K1440" s="509"/>
      <c r="L1440" s="513"/>
      <c r="M1440" s="509">
        <f t="shared" si="131"/>
        <v>0</v>
      </c>
      <c r="N1440" s="513"/>
      <c r="O1440" s="509">
        <f t="shared" si="132"/>
        <v>0</v>
      </c>
      <c r="P1440" s="509">
        <f t="shared" si="133"/>
        <v>0</v>
      </c>
      <c r="Q1440" s="471"/>
    </row>
    <row r="1441" spans="3:17">
      <c r="C1441" s="505">
        <f>IF(D1391="","-",+C1440+1)</f>
        <v>2059</v>
      </c>
      <c r="D1441" s="469">
        <f t="shared" si="134"/>
        <v>0</v>
      </c>
      <c r="E1441" s="511">
        <f t="shared" si="135"/>
        <v>0</v>
      </c>
      <c r="F1441" s="511">
        <f t="shared" si="128"/>
        <v>0</v>
      </c>
      <c r="G1441" s="469">
        <f t="shared" si="129"/>
        <v>0</v>
      </c>
      <c r="H1441" s="506">
        <f>+J1392*G1441+E1441</f>
        <v>0</v>
      </c>
      <c r="I1441" s="512">
        <f>+J1393*G1441+E1441</f>
        <v>0</v>
      </c>
      <c r="J1441" s="509">
        <f t="shared" si="130"/>
        <v>0</v>
      </c>
      <c r="K1441" s="509"/>
      <c r="L1441" s="513"/>
      <c r="M1441" s="509">
        <f t="shared" si="131"/>
        <v>0</v>
      </c>
      <c r="N1441" s="513"/>
      <c r="O1441" s="509">
        <f t="shared" si="132"/>
        <v>0</v>
      </c>
      <c r="P1441" s="509">
        <f t="shared" si="133"/>
        <v>0</v>
      </c>
      <c r="Q1441" s="471"/>
    </row>
    <row r="1442" spans="3:17">
      <c r="C1442" s="505">
        <f>IF(D1391="","-",+C1441+1)</f>
        <v>2060</v>
      </c>
      <c r="D1442" s="469">
        <f t="shared" si="134"/>
        <v>0</v>
      </c>
      <c r="E1442" s="511">
        <f t="shared" si="135"/>
        <v>0</v>
      </c>
      <c r="F1442" s="511">
        <f t="shared" si="128"/>
        <v>0</v>
      </c>
      <c r="G1442" s="469">
        <f t="shared" si="129"/>
        <v>0</v>
      </c>
      <c r="H1442" s="506">
        <f>+J1392*G1442+E1442</f>
        <v>0</v>
      </c>
      <c r="I1442" s="512">
        <f>+J1393*G1442+E1442</f>
        <v>0</v>
      </c>
      <c r="J1442" s="509">
        <f t="shared" si="130"/>
        <v>0</v>
      </c>
      <c r="K1442" s="509"/>
      <c r="L1442" s="513"/>
      <c r="M1442" s="509">
        <f t="shared" si="131"/>
        <v>0</v>
      </c>
      <c r="N1442" s="513"/>
      <c r="O1442" s="509">
        <f t="shared" si="132"/>
        <v>0</v>
      </c>
      <c r="P1442" s="509">
        <f t="shared" si="133"/>
        <v>0</v>
      </c>
      <c r="Q1442" s="471"/>
    </row>
    <row r="1443" spans="3:17">
      <c r="C1443" s="505">
        <f>IF(D1391="","-",+C1442+1)</f>
        <v>2061</v>
      </c>
      <c r="D1443" s="469">
        <f t="shared" si="134"/>
        <v>0</v>
      </c>
      <c r="E1443" s="511">
        <f t="shared" si="135"/>
        <v>0</v>
      </c>
      <c r="F1443" s="511">
        <f t="shared" si="128"/>
        <v>0</v>
      </c>
      <c r="G1443" s="469">
        <f t="shared" si="129"/>
        <v>0</v>
      </c>
      <c r="H1443" s="506">
        <f>+J1392*G1443+E1443</f>
        <v>0</v>
      </c>
      <c r="I1443" s="512">
        <f>+J1393*G1443+E1443</f>
        <v>0</v>
      </c>
      <c r="J1443" s="509">
        <f t="shared" si="130"/>
        <v>0</v>
      </c>
      <c r="K1443" s="509"/>
      <c r="L1443" s="513"/>
      <c r="M1443" s="509">
        <f t="shared" si="131"/>
        <v>0</v>
      </c>
      <c r="N1443" s="513"/>
      <c r="O1443" s="509">
        <f t="shared" si="132"/>
        <v>0</v>
      </c>
      <c r="P1443" s="509">
        <f t="shared" si="133"/>
        <v>0</v>
      </c>
      <c r="Q1443" s="471"/>
    </row>
    <row r="1444" spans="3:17">
      <c r="C1444" s="505">
        <f>IF(D1391="","-",+C1443+1)</f>
        <v>2062</v>
      </c>
      <c r="D1444" s="469">
        <f t="shared" si="134"/>
        <v>0</v>
      </c>
      <c r="E1444" s="511">
        <f t="shared" si="135"/>
        <v>0</v>
      </c>
      <c r="F1444" s="511">
        <f t="shared" si="128"/>
        <v>0</v>
      </c>
      <c r="G1444" s="469">
        <f t="shared" si="129"/>
        <v>0</v>
      </c>
      <c r="H1444" s="506">
        <f>+J1392*G1444+E1444</f>
        <v>0</v>
      </c>
      <c r="I1444" s="512">
        <f>+J1393*G1444+E1444</f>
        <v>0</v>
      </c>
      <c r="J1444" s="509">
        <f t="shared" si="130"/>
        <v>0</v>
      </c>
      <c r="K1444" s="509"/>
      <c r="L1444" s="513"/>
      <c r="M1444" s="509">
        <f t="shared" si="131"/>
        <v>0</v>
      </c>
      <c r="N1444" s="513"/>
      <c r="O1444" s="509">
        <f t="shared" si="132"/>
        <v>0</v>
      </c>
      <c r="P1444" s="509">
        <f t="shared" si="133"/>
        <v>0</v>
      </c>
      <c r="Q1444" s="471"/>
    </row>
    <row r="1445" spans="3:17">
      <c r="C1445" s="505">
        <f>IF(D1391="","-",+C1444+1)</f>
        <v>2063</v>
      </c>
      <c r="D1445" s="469">
        <f t="shared" si="134"/>
        <v>0</v>
      </c>
      <c r="E1445" s="511">
        <f t="shared" si="135"/>
        <v>0</v>
      </c>
      <c r="F1445" s="511">
        <f t="shared" si="128"/>
        <v>0</v>
      </c>
      <c r="G1445" s="469">
        <f t="shared" si="129"/>
        <v>0</v>
      </c>
      <c r="H1445" s="506">
        <f>+J1392*G1445+E1445</f>
        <v>0</v>
      </c>
      <c r="I1445" s="512">
        <f>+J1393*G1445+E1445</f>
        <v>0</v>
      </c>
      <c r="J1445" s="509">
        <f t="shared" si="130"/>
        <v>0</v>
      </c>
      <c r="K1445" s="509"/>
      <c r="L1445" s="513"/>
      <c r="M1445" s="509">
        <f t="shared" si="131"/>
        <v>0</v>
      </c>
      <c r="N1445" s="513"/>
      <c r="O1445" s="509">
        <f t="shared" si="132"/>
        <v>0</v>
      </c>
      <c r="P1445" s="509">
        <f t="shared" si="133"/>
        <v>0</v>
      </c>
      <c r="Q1445" s="471"/>
    </row>
    <row r="1446" spans="3:17">
      <c r="C1446" s="505">
        <f>IF(D1391="","-",+C1445+1)</f>
        <v>2064</v>
      </c>
      <c r="D1446" s="469">
        <f t="shared" si="134"/>
        <v>0</v>
      </c>
      <c r="E1446" s="511">
        <f t="shared" si="135"/>
        <v>0</v>
      </c>
      <c r="F1446" s="511">
        <f t="shared" si="128"/>
        <v>0</v>
      </c>
      <c r="G1446" s="469">
        <f t="shared" si="129"/>
        <v>0</v>
      </c>
      <c r="H1446" s="506">
        <f>+J1392*G1446+E1446</f>
        <v>0</v>
      </c>
      <c r="I1446" s="512">
        <f>+J1393*G1446+E1446</f>
        <v>0</v>
      </c>
      <c r="J1446" s="509">
        <f t="shared" si="130"/>
        <v>0</v>
      </c>
      <c r="K1446" s="509"/>
      <c r="L1446" s="513"/>
      <c r="M1446" s="509">
        <f t="shared" si="131"/>
        <v>0</v>
      </c>
      <c r="N1446" s="513"/>
      <c r="O1446" s="509">
        <f t="shared" si="132"/>
        <v>0</v>
      </c>
      <c r="P1446" s="509">
        <f t="shared" si="133"/>
        <v>0</v>
      </c>
      <c r="Q1446" s="471"/>
    </row>
    <row r="1447" spans="3:17">
      <c r="C1447" s="505">
        <f>IF(D1391="","-",+C1446+1)</f>
        <v>2065</v>
      </c>
      <c r="D1447" s="469">
        <f t="shared" si="134"/>
        <v>0</v>
      </c>
      <c r="E1447" s="511">
        <f t="shared" si="135"/>
        <v>0</v>
      </c>
      <c r="F1447" s="511">
        <f t="shared" si="128"/>
        <v>0</v>
      </c>
      <c r="G1447" s="469">
        <f t="shared" si="129"/>
        <v>0</v>
      </c>
      <c r="H1447" s="506">
        <f>+J1392*G1447+E1447</f>
        <v>0</v>
      </c>
      <c r="I1447" s="512">
        <f>+J1393*G1447+E1447</f>
        <v>0</v>
      </c>
      <c r="J1447" s="509">
        <f t="shared" si="130"/>
        <v>0</v>
      </c>
      <c r="K1447" s="509"/>
      <c r="L1447" s="513"/>
      <c r="M1447" s="509">
        <f t="shared" si="131"/>
        <v>0</v>
      </c>
      <c r="N1447" s="513"/>
      <c r="O1447" s="509">
        <f t="shared" si="132"/>
        <v>0</v>
      </c>
      <c r="P1447" s="509">
        <f t="shared" si="133"/>
        <v>0</v>
      </c>
      <c r="Q1447" s="471"/>
    </row>
    <row r="1448" spans="3:17">
      <c r="C1448" s="505">
        <f>IF(D1391="","-",+C1447+1)</f>
        <v>2066</v>
      </c>
      <c r="D1448" s="469">
        <f t="shared" si="134"/>
        <v>0</v>
      </c>
      <c r="E1448" s="511">
        <f t="shared" si="135"/>
        <v>0</v>
      </c>
      <c r="F1448" s="511">
        <f t="shared" si="128"/>
        <v>0</v>
      </c>
      <c r="G1448" s="469">
        <f t="shared" si="129"/>
        <v>0</v>
      </c>
      <c r="H1448" s="506">
        <f>+J1392*G1448+E1448</f>
        <v>0</v>
      </c>
      <c r="I1448" s="512">
        <f>+J1393*G1448+E1448</f>
        <v>0</v>
      </c>
      <c r="J1448" s="509">
        <f t="shared" si="130"/>
        <v>0</v>
      </c>
      <c r="K1448" s="509"/>
      <c r="L1448" s="513"/>
      <c r="M1448" s="509">
        <f t="shared" si="131"/>
        <v>0</v>
      </c>
      <c r="N1448" s="513"/>
      <c r="O1448" s="509">
        <f t="shared" si="132"/>
        <v>0</v>
      </c>
      <c r="P1448" s="509">
        <f t="shared" si="133"/>
        <v>0</v>
      </c>
      <c r="Q1448" s="471"/>
    </row>
    <row r="1449" spans="3:17">
      <c r="C1449" s="505">
        <f>IF(D1391="","-",+C1448+1)</f>
        <v>2067</v>
      </c>
      <c r="D1449" s="469">
        <f t="shared" si="134"/>
        <v>0</v>
      </c>
      <c r="E1449" s="511">
        <f t="shared" si="135"/>
        <v>0</v>
      </c>
      <c r="F1449" s="511">
        <f t="shared" si="128"/>
        <v>0</v>
      </c>
      <c r="G1449" s="469">
        <f t="shared" si="129"/>
        <v>0</v>
      </c>
      <c r="H1449" s="506">
        <f>+J1392*G1449+E1449</f>
        <v>0</v>
      </c>
      <c r="I1449" s="512">
        <f>+J1393*G1449+E1449</f>
        <v>0</v>
      </c>
      <c r="J1449" s="509">
        <f t="shared" si="130"/>
        <v>0</v>
      </c>
      <c r="K1449" s="509"/>
      <c r="L1449" s="513"/>
      <c r="M1449" s="509">
        <f t="shared" si="131"/>
        <v>0</v>
      </c>
      <c r="N1449" s="513"/>
      <c r="O1449" s="509">
        <f t="shared" si="132"/>
        <v>0</v>
      </c>
      <c r="P1449" s="509">
        <f t="shared" si="133"/>
        <v>0</v>
      </c>
      <c r="Q1449" s="471"/>
    </row>
    <row r="1450" spans="3:17">
      <c r="C1450" s="505">
        <f>IF(D1391="","-",+C1449+1)</f>
        <v>2068</v>
      </c>
      <c r="D1450" s="469">
        <f t="shared" si="134"/>
        <v>0</v>
      </c>
      <c r="E1450" s="511">
        <f t="shared" si="135"/>
        <v>0</v>
      </c>
      <c r="F1450" s="511">
        <f t="shared" si="128"/>
        <v>0</v>
      </c>
      <c r="G1450" s="469">
        <f t="shared" si="129"/>
        <v>0</v>
      </c>
      <c r="H1450" s="506">
        <f>+J1392*G1450+E1450</f>
        <v>0</v>
      </c>
      <c r="I1450" s="512">
        <f>+J1393*G1450+E1450</f>
        <v>0</v>
      </c>
      <c r="J1450" s="509">
        <f t="shared" si="130"/>
        <v>0</v>
      </c>
      <c r="K1450" s="509"/>
      <c r="L1450" s="513"/>
      <c r="M1450" s="509">
        <f t="shared" si="131"/>
        <v>0</v>
      </c>
      <c r="N1450" s="513"/>
      <c r="O1450" s="509">
        <f t="shared" si="132"/>
        <v>0</v>
      </c>
      <c r="P1450" s="509">
        <f t="shared" si="133"/>
        <v>0</v>
      </c>
      <c r="Q1450" s="471"/>
    </row>
    <row r="1451" spans="3:17">
      <c r="C1451" s="505">
        <f>IF(D1391="","-",+C1450+1)</f>
        <v>2069</v>
      </c>
      <c r="D1451" s="469">
        <f t="shared" si="134"/>
        <v>0</v>
      </c>
      <c r="E1451" s="511">
        <f t="shared" si="135"/>
        <v>0</v>
      </c>
      <c r="F1451" s="511">
        <f t="shared" si="128"/>
        <v>0</v>
      </c>
      <c r="G1451" s="469">
        <f t="shared" si="129"/>
        <v>0</v>
      </c>
      <c r="H1451" s="506">
        <f>+J1392*G1451+E1451</f>
        <v>0</v>
      </c>
      <c r="I1451" s="512">
        <f>+J1393*G1451+E1451</f>
        <v>0</v>
      </c>
      <c r="J1451" s="509">
        <f t="shared" si="130"/>
        <v>0</v>
      </c>
      <c r="K1451" s="509"/>
      <c r="L1451" s="513"/>
      <c r="M1451" s="509">
        <f t="shared" si="131"/>
        <v>0</v>
      </c>
      <c r="N1451" s="513"/>
      <c r="O1451" s="509">
        <f t="shared" si="132"/>
        <v>0</v>
      </c>
      <c r="P1451" s="509">
        <f t="shared" si="133"/>
        <v>0</v>
      </c>
      <c r="Q1451" s="471"/>
    </row>
    <row r="1452" spans="3:17">
      <c r="C1452" s="505">
        <f>IF(D1391="","-",+C1451+1)</f>
        <v>2070</v>
      </c>
      <c r="D1452" s="469">
        <f t="shared" si="134"/>
        <v>0</v>
      </c>
      <c r="E1452" s="511">
        <f t="shared" si="135"/>
        <v>0</v>
      </c>
      <c r="F1452" s="511">
        <f t="shared" si="128"/>
        <v>0</v>
      </c>
      <c r="G1452" s="469">
        <f t="shared" si="129"/>
        <v>0</v>
      </c>
      <c r="H1452" s="506">
        <f>+J1392*G1452+E1452</f>
        <v>0</v>
      </c>
      <c r="I1452" s="512">
        <f>+J1393*G1452+E1452</f>
        <v>0</v>
      </c>
      <c r="J1452" s="509">
        <f t="shared" si="130"/>
        <v>0</v>
      </c>
      <c r="K1452" s="509"/>
      <c r="L1452" s="513"/>
      <c r="M1452" s="509">
        <f t="shared" si="131"/>
        <v>0</v>
      </c>
      <c r="N1452" s="513"/>
      <c r="O1452" s="509">
        <f t="shared" si="132"/>
        <v>0</v>
      </c>
      <c r="P1452" s="509">
        <f t="shared" si="133"/>
        <v>0</v>
      </c>
      <c r="Q1452" s="471"/>
    </row>
    <row r="1453" spans="3:17">
      <c r="C1453" s="505">
        <f>IF(D1391="","-",+C1452+1)</f>
        <v>2071</v>
      </c>
      <c r="D1453" s="469">
        <f t="shared" si="134"/>
        <v>0</v>
      </c>
      <c r="E1453" s="511">
        <f t="shared" si="135"/>
        <v>0</v>
      </c>
      <c r="F1453" s="511">
        <f t="shared" si="128"/>
        <v>0</v>
      </c>
      <c r="G1453" s="469">
        <f t="shared" si="129"/>
        <v>0</v>
      </c>
      <c r="H1453" s="506">
        <f>+J1392*G1453+E1453</f>
        <v>0</v>
      </c>
      <c r="I1453" s="512">
        <f>+J1393*G1453+E1453</f>
        <v>0</v>
      </c>
      <c r="J1453" s="509">
        <f t="shared" si="130"/>
        <v>0</v>
      </c>
      <c r="K1453" s="509"/>
      <c r="L1453" s="513"/>
      <c r="M1453" s="509">
        <f t="shared" si="131"/>
        <v>0</v>
      </c>
      <c r="N1453" s="513"/>
      <c r="O1453" s="509">
        <f t="shared" si="132"/>
        <v>0</v>
      </c>
      <c r="P1453" s="509">
        <f t="shared" si="133"/>
        <v>0</v>
      </c>
      <c r="Q1453" s="471"/>
    </row>
    <row r="1454" spans="3:17">
      <c r="C1454" s="505">
        <f>IF(D1391="","-",+C1453+1)</f>
        <v>2072</v>
      </c>
      <c r="D1454" s="469">
        <f t="shared" si="134"/>
        <v>0</v>
      </c>
      <c r="E1454" s="511">
        <f t="shared" si="135"/>
        <v>0</v>
      </c>
      <c r="F1454" s="511">
        <f t="shared" si="128"/>
        <v>0</v>
      </c>
      <c r="G1454" s="469">
        <f t="shared" si="129"/>
        <v>0</v>
      </c>
      <c r="H1454" s="506">
        <f>+J1392*G1454+E1454</f>
        <v>0</v>
      </c>
      <c r="I1454" s="512">
        <f>+J1393*G1454+E1454</f>
        <v>0</v>
      </c>
      <c r="J1454" s="509">
        <f t="shared" si="130"/>
        <v>0</v>
      </c>
      <c r="K1454" s="509"/>
      <c r="L1454" s="513"/>
      <c r="M1454" s="509">
        <f t="shared" si="131"/>
        <v>0</v>
      </c>
      <c r="N1454" s="513"/>
      <c r="O1454" s="509">
        <f t="shared" si="132"/>
        <v>0</v>
      </c>
      <c r="P1454" s="509">
        <f t="shared" si="133"/>
        <v>0</v>
      </c>
      <c r="Q1454" s="471"/>
    </row>
    <row r="1455" spans="3:17">
      <c r="C1455" s="505">
        <f>IF(D1391="","-",+C1454+1)</f>
        <v>2073</v>
      </c>
      <c r="D1455" s="469">
        <f t="shared" si="134"/>
        <v>0</v>
      </c>
      <c r="E1455" s="511">
        <f t="shared" si="135"/>
        <v>0</v>
      </c>
      <c r="F1455" s="511">
        <f t="shared" si="128"/>
        <v>0</v>
      </c>
      <c r="G1455" s="469">
        <f t="shared" si="129"/>
        <v>0</v>
      </c>
      <c r="H1455" s="506">
        <f>+J1392*G1455+E1455</f>
        <v>0</v>
      </c>
      <c r="I1455" s="512">
        <f>+J1393*G1455+E1455</f>
        <v>0</v>
      </c>
      <c r="J1455" s="509">
        <f t="shared" si="130"/>
        <v>0</v>
      </c>
      <c r="K1455" s="509"/>
      <c r="L1455" s="513"/>
      <c r="M1455" s="509">
        <f t="shared" si="131"/>
        <v>0</v>
      </c>
      <c r="N1455" s="513"/>
      <c r="O1455" s="509">
        <f t="shared" si="132"/>
        <v>0</v>
      </c>
      <c r="P1455" s="509">
        <f t="shared" si="133"/>
        <v>0</v>
      </c>
      <c r="Q1455" s="471"/>
    </row>
    <row r="1456" spans="3:17" ht="13.5" thickBot="1">
      <c r="C1456" s="515">
        <f>IF(D1391="","-",+C1455+1)</f>
        <v>2074</v>
      </c>
      <c r="D1456" s="516">
        <f t="shared" si="134"/>
        <v>0</v>
      </c>
      <c r="E1456" s="976">
        <f t="shared" si="135"/>
        <v>0</v>
      </c>
      <c r="F1456" s="517">
        <f t="shared" si="128"/>
        <v>0</v>
      </c>
      <c r="G1456" s="516">
        <f t="shared" si="129"/>
        <v>0</v>
      </c>
      <c r="H1456" s="518">
        <f>+J1392*G1456+E1456</f>
        <v>0</v>
      </c>
      <c r="I1456" s="518">
        <f>+J1393*G1456+E1456</f>
        <v>0</v>
      </c>
      <c r="J1456" s="519">
        <f t="shared" si="130"/>
        <v>0</v>
      </c>
      <c r="K1456" s="509"/>
      <c r="L1456" s="520"/>
      <c r="M1456" s="519">
        <f t="shared" si="131"/>
        <v>0</v>
      </c>
      <c r="N1456" s="520"/>
      <c r="O1456" s="519">
        <f t="shared" si="132"/>
        <v>0</v>
      </c>
      <c r="P1456" s="519">
        <f t="shared" si="133"/>
        <v>0</v>
      </c>
      <c r="Q1456" s="471"/>
    </row>
    <row r="1457" spans="1:17">
      <c r="C1457" s="469" t="s">
        <v>288</v>
      </c>
      <c r="D1457" s="467"/>
      <c r="E1457" s="467">
        <f>SUM(E1397:E1456)</f>
        <v>620757.1</v>
      </c>
      <c r="F1457" s="467"/>
      <c r="G1457" s="467"/>
      <c r="H1457" s="467">
        <f>SUM(H1397:H1456)</f>
        <v>2668794.852028999</v>
      </c>
      <c r="I1457" s="467">
        <f>SUM(I1397:I1456)</f>
        <v>2668794.852028999</v>
      </c>
      <c r="J1457" s="467">
        <f>SUM(J1397:J1456)</f>
        <v>0</v>
      </c>
      <c r="K1457" s="467"/>
      <c r="L1457" s="467"/>
      <c r="M1457" s="467"/>
      <c r="N1457" s="467"/>
      <c r="O1457" s="467"/>
      <c r="Q1457" s="467"/>
    </row>
    <row r="1458" spans="1:17">
      <c r="D1458" s="79"/>
      <c r="E1458" s="4"/>
      <c r="F1458" s="4"/>
      <c r="G1458" s="4"/>
      <c r="H1458" s="4"/>
      <c r="I1458" s="452"/>
      <c r="J1458" s="452"/>
      <c r="K1458" s="467"/>
      <c r="L1458" s="452"/>
      <c r="M1458" s="452"/>
      <c r="N1458" s="452"/>
      <c r="O1458" s="452"/>
      <c r="Q1458" s="467"/>
    </row>
    <row r="1459" spans="1:17">
      <c r="C1459" s="4" t="s">
        <v>595</v>
      </c>
      <c r="D1459" s="79"/>
      <c r="E1459" s="4"/>
      <c r="F1459" s="4"/>
      <c r="G1459" s="4"/>
      <c r="H1459" s="4"/>
      <c r="I1459" s="452"/>
      <c r="J1459" s="452"/>
      <c r="K1459" s="467"/>
      <c r="L1459" s="452"/>
      <c r="M1459" s="452"/>
      <c r="N1459" s="452"/>
      <c r="O1459" s="452"/>
      <c r="Q1459" s="467"/>
    </row>
    <row r="1460" spans="1:17">
      <c r="D1460" s="79"/>
      <c r="E1460" s="4"/>
      <c r="F1460" s="4"/>
      <c r="G1460" s="4"/>
      <c r="H1460" s="4"/>
      <c r="I1460" s="452"/>
      <c r="J1460" s="452"/>
      <c r="K1460" s="467"/>
      <c r="L1460" s="452"/>
      <c r="M1460" s="452"/>
      <c r="N1460" s="452"/>
      <c r="O1460" s="452"/>
      <c r="Q1460" s="467"/>
    </row>
    <row r="1461" spans="1:17">
      <c r="C1461" s="4" t="s">
        <v>596</v>
      </c>
      <c r="D1461" s="469"/>
      <c r="E1461" s="469"/>
      <c r="F1461" s="469"/>
      <c r="G1461" s="469"/>
      <c r="H1461" s="467"/>
      <c r="I1461" s="467"/>
      <c r="J1461" s="471"/>
      <c r="K1461" s="471"/>
      <c r="L1461" s="471"/>
      <c r="M1461" s="471"/>
      <c r="N1461" s="471"/>
      <c r="O1461" s="471"/>
      <c r="Q1461" s="471"/>
    </row>
    <row r="1462" spans="1:17">
      <c r="C1462" s="4" t="s">
        <v>476</v>
      </c>
      <c r="D1462" s="469"/>
      <c r="E1462" s="469"/>
      <c r="F1462" s="469"/>
      <c r="G1462" s="469"/>
      <c r="H1462" s="467"/>
      <c r="I1462" s="467"/>
      <c r="J1462" s="471"/>
      <c r="K1462" s="471"/>
      <c r="L1462" s="471"/>
      <c r="M1462" s="471"/>
      <c r="N1462" s="471"/>
      <c r="O1462" s="471"/>
      <c r="Q1462" s="471"/>
    </row>
    <row r="1463" spans="1:17">
      <c r="C1463" s="4" t="s">
        <v>289</v>
      </c>
      <c r="D1463" s="469"/>
      <c r="E1463" s="469"/>
      <c r="F1463" s="469"/>
      <c r="G1463" s="469"/>
      <c r="H1463" s="467"/>
      <c r="I1463" s="467"/>
      <c r="J1463" s="471"/>
      <c r="K1463" s="471"/>
      <c r="L1463" s="471"/>
      <c r="M1463" s="471"/>
      <c r="N1463" s="471"/>
      <c r="O1463" s="471"/>
      <c r="Q1463" s="471"/>
    </row>
    <row r="1464" spans="1:17" ht="20.25">
      <c r="A1464" s="411" t="s">
        <v>762</v>
      </c>
      <c r="B1464" s="4"/>
      <c r="C1464" s="4"/>
      <c r="D1464" s="79"/>
      <c r="E1464" s="4"/>
      <c r="F1464" s="81"/>
      <c r="G1464" s="81"/>
      <c r="H1464" s="4"/>
      <c r="I1464" s="452"/>
      <c r="L1464" s="11"/>
      <c r="M1464" s="11"/>
      <c r="N1464" s="11"/>
      <c r="O1464" s="11" t="str">
        <f>"Page "&amp;SUM(Q$3:Q1464)&amp;" of "</f>
        <v xml:space="preserve">Page 18 of </v>
      </c>
      <c r="P1464" s="412">
        <f>COUNT(Q$8:Q$58212)</f>
        <v>23</v>
      </c>
      <c r="Q1464" s="539">
        <v>1</v>
      </c>
    </row>
    <row r="1465" spans="1:17">
      <c r="B1465" s="4"/>
      <c r="C1465" s="4"/>
      <c r="D1465" s="79"/>
      <c r="E1465" s="4"/>
      <c r="F1465" s="4"/>
      <c r="G1465" s="4"/>
      <c r="H1465" s="4"/>
      <c r="I1465" s="452"/>
      <c r="J1465" s="4"/>
      <c r="K1465" s="4"/>
    </row>
    <row r="1466" spans="1:17" ht="18">
      <c r="B1466" s="413" t="s">
        <v>174</v>
      </c>
      <c r="C1466" s="472" t="s">
        <v>290</v>
      </c>
      <c r="D1466" s="79"/>
      <c r="E1466" s="4"/>
      <c r="F1466" s="4"/>
      <c r="G1466" s="4"/>
      <c r="H1466" s="4"/>
      <c r="I1466" s="452"/>
      <c r="J1466" s="452"/>
      <c r="K1466" s="467"/>
      <c r="L1466" s="452"/>
      <c r="M1466" s="452"/>
      <c r="N1466" s="452"/>
      <c r="O1466" s="452"/>
      <c r="Q1466" s="467"/>
    </row>
    <row r="1467" spans="1:17" ht="18.75">
      <c r="B1467" s="413"/>
      <c r="C1467" s="13"/>
      <c r="D1467" s="79"/>
      <c r="E1467" s="4"/>
      <c r="F1467" s="4"/>
      <c r="G1467" s="4"/>
      <c r="H1467" s="4"/>
      <c r="I1467" s="452"/>
      <c r="J1467" s="452"/>
      <c r="K1467" s="467"/>
      <c r="L1467" s="452"/>
      <c r="M1467" s="452"/>
      <c r="N1467" s="452"/>
      <c r="O1467" s="452"/>
      <c r="Q1467" s="467"/>
    </row>
    <row r="1468" spans="1:17" ht="18.75">
      <c r="B1468" s="413"/>
      <c r="C1468" s="13" t="s">
        <v>291</v>
      </c>
      <c r="D1468" s="79"/>
      <c r="E1468" s="4"/>
      <c r="F1468" s="4"/>
      <c r="G1468" s="4"/>
      <c r="H1468" s="4"/>
      <c r="I1468" s="452"/>
      <c r="J1468" s="452"/>
      <c r="K1468" s="467"/>
      <c r="L1468" s="452"/>
      <c r="M1468" s="452"/>
      <c r="N1468" s="452"/>
      <c r="O1468" s="452"/>
      <c r="Q1468" s="467"/>
    </row>
    <row r="1469" spans="1:17" ht="15.75" thickBot="1">
      <c r="C1469" s="247"/>
      <c r="D1469" s="79"/>
      <c r="E1469" s="4"/>
      <c r="F1469" s="4"/>
      <c r="G1469" s="4"/>
      <c r="H1469" s="4"/>
      <c r="I1469" s="452"/>
      <c r="J1469" s="452"/>
      <c r="K1469" s="467"/>
      <c r="L1469" s="452"/>
      <c r="M1469" s="452"/>
      <c r="N1469" s="452"/>
      <c r="O1469" s="452"/>
      <c r="Q1469" s="467"/>
    </row>
    <row r="1470" spans="1:17" ht="15.75">
      <c r="C1470" s="414" t="s">
        <v>292</v>
      </c>
      <c r="D1470" s="79"/>
      <c r="E1470" s="4"/>
      <c r="F1470" s="4"/>
      <c r="G1470" s="4"/>
      <c r="H1470" s="635"/>
      <c r="I1470" s="4" t="s">
        <v>271</v>
      </c>
      <c r="J1470" s="4"/>
      <c r="K1470" s="4"/>
      <c r="L1470" s="540">
        <f>+J1476</f>
        <v>2025</v>
      </c>
      <c r="M1470" s="524" t="s">
        <v>254</v>
      </c>
      <c r="N1470" s="524" t="s">
        <v>255</v>
      </c>
      <c r="O1470" s="525" t="s">
        <v>256</v>
      </c>
    </row>
    <row r="1471" spans="1:17" ht="15.75">
      <c r="C1471" s="414"/>
      <c r="D1471" s="79"/>
      <c r="E1471" s="4"/>
      <c r="F1471" s="4"/>
      <c r="H1471" s="4"/>
      <c r="I1471" s="476"/>
      <c r="J1471" s="476"/>
      <c r="K1471" s="477"/>
      <c r="L1471" s="541" t="s">
        <v>455</v>
      </c>
      <c r="M1471" s="542">
        <f>VLOOKUP(J1476,C1483:P1542,10)</f>
        <v>931983.38659896457</v>
      </c>
      <c r="N1471" s="542">
        <f>VLOOKUP(J1476,C1483:P1542,12)</f>
        <v>931983.38659896457</v>
      </c>
      <c r="O1471" s="543">
        <f>+N1471-M1471</f>
        <v>0</v>
      </c>
      <c r="Q1471" s="477"/>
    </row>
    <row r="1472" spans="1:17">
      <c r="C1472" s="479" t="s">
        <v>293</v>
      </c>
      <c r="D1472" s="1276" t="s">
        <v>940</v>
      </c>
      <c r="E1472" s="1276"/>
      <c r="F1472" s="1276"/>
      <c r="G1472" s="1276" t="s">
        <v>940</v>
      </c>
      <c r="H1472" s="1276"/>
      <c r="I1472" s="1276"/>
      <c r="J1472" s="452"/>
      <c r="K1472" s="467"/>
      <c r="L1472" s="541" t="s">
        <v>456</v>
      </c>
      <c r="M1472" s="544">
        <f>VLOOKUP(J1476,C1483:P1542,6)</f>
        <v>958409.58125773608</v>
      </c>
      <c r="N1472" s="544">
        <f>VLOOKUP(J1476,C1483:P1542,7)</f>
        <v>958409.58125773608</v>
      </c>
      <c r="O1472" s="545">
        <f>+N1472-M1472</f>
        <v>0</v>
      </c>
      <c r="Q1472" s="467"/>
    </row>
    <row r="1473" spans="1:17" ht="13.5" thickBot="1">
      <c r="C1473" s="481"/>
      <c r="D1473" s="4" t="s">
        <v>114</v>
      </c>
      <c r="E1473" s="483"/>
      <c r="F1473" s="483"/>
      <c r="G1473" s="483"/>
      <c r="H1473" s="483"/>
      <c r="I1473" s="483"/>
      <c r="J1473" s="452"/>
      <c r="K1473" s="467"/>
      <c r="L1473" s="492" t="s">
        <v>457</v>
      </c>
      <c r="M1473" s="546">
        <f>+M1472-M1471</f>
        <v>26426.194658771507</v>
      </c>
      <c r="N1473" s="546">
        <f>+N1472-N1471</f>
        <v>26426.194658771507</v>
      </c>
      <c r="O1473" s="547">
        <f>+O1472-O1471</f>
        <v>0</v>
      </c>
      <c r="Q1473" s="467"/>
    </row>
    <row r="1474" spans="1:17" ht="13.5" thickBot="1">
      <c r="C1474" s="481"/>
      <c r="D1474" s="4"/>
      <c r="E1474" s="483"/>
      <c r="F1474" s="483"/>
      <c r="G1474" s="483"/>
      <c r="H1474" s="483"/>
      <c r="I1474" s="483"/>
      <c r="J1474" s="483"/>
      <c r="K1474" s="483"/>
      <c r="L1474" s="483"/>
      <c r="M1474" s="483"/>
      <c r="N1474" s="483"/>
      <c r="O1474" s="483"/>
      <c r="Q1474" s="483"/>
    </row>
    <row r="1475" spans="1:17" ht="13.5" thickBot="1">
      <c r="C1475" s="484" t="s">
        <v>294</v>
      </c>
      <c r="D1475" s="485"/>
      <c r="E1475" s="485"/>
      <c r="F1475" s="485"/>
      <c r="G1475" s="485"/>
      <c r="H1475" s="485"/>
      <c r="I1475" s="485"/>
      <c r="J1475" s="485"/>
      <c r="Q1475"/>
    </row>
    <row r="1476" spans="1:17" ht="15">
      <c r="A1476" s="977"/>
      <c r="C1476" s="487" t="s">
        <v>272</v>
      </c>
      <c r="D1476" s="926">
        <v>6852887.7200000007</v>
      </c>
      <c r="E1476" s="4" t="s">
        <v>273</v>
      </c>
      <c r="H1476" s="79"/>
      <c r="I1476" s="79"/>
      <c r="J1476" s="488">
        <f>$J$95</f>
        <v>2025</v>
      </c>
      <c r="K1476" s="135"/>
      <c r="L1476" s="1287" t="s">
        <v>274</v>
      </c>
      <c r="M1476" s="1287"/>
      <c r="N1476" s="1287"/>
      <c r="O1476" s="1287"/>
      <c r="Q1476" s="135"/>
    </row>
    <row r="1477" spans="1:17">
      <c r="A1477" s="977"/>
      <c r="C1477" s="487" t="s">
        <v>275</v>
      </c>
      <c r="D1477" s="636">
        <v>2015</v>
      </c>
      <c r="E1477" s="487" t="s">
        <v>276</v>
      </c>
      <c r="F1477" s="79"/>
      <c r="G1477" s="79"/>
      <c r="I1477"/>
      <c r="J1477" s="638">
        <v>0</v>
      </c>
      <c r="K1477" s="489"/>
      <c r="L1477" s="467" t="s">
        <v>475</v>
      </c>
      <c r="Q1477" s="489"/>
    </row>
    <row r="1478" spans="1:17">
      <c r="A1478" s="977"/>
      <c r="C1478" s="487" t="s">
        <v>277</v>
      </c>
      <c r="D1478" s="926">
        <v>12</v>
      </c>
      <c r="E1478" s="487" t="s">
        <v>278</v>
      </c>
      <c r="F1478" s="79"/>
      <c r="G1478" s="79"/>
      <c r="I1478"/>
      <c r="J1478" s="490">
        <f>$F$70</f>
        <v>0.14996626714737105</v>
      </c>
      <c r="K1478" s="81"/>
      <c r="L1478" s="4" t="str">
        <f>"          INPUT TRUE-UP ARR (WITH &amp; WITHOUT INCENTIVES) FROM EACH PRIOR YEAR"</f>
        <v xml:space="preserve">          INPUT TRUE-UP ARR (WITH &amp; WITHOUT INCENTIVES) FROM EACH PRIOR YEAR</v>
      </c>
      <c r="Q1478" s="81"/>
    </row>
    <row r="1479" spans="1:17">
      <c r="A1479" s="977"/>
      <c r="C1479" s="487" t="s">
        <v>279</v>
      </c>
      <c r="D1479" s="491">
        <f>H79</f>
        <v>42</v>
      </c>
      <c r="E1479" s="487" t="s">
        <v>280</v>
      </c>
      <c r="F1479" s="79"/>
      <c r="G1479" s="79"/>
      <c r="I1479"/>
      <c r="J1479" s="490">
        <f>IF(H1470="",J1478,$F$69)</f>
        <v>0.14996626714737105</v>
      </c>
      <c r="K1479" s="81"/>
      <c r="L1479" s="4" t="s">
        <v>362</v>
      </c>
      <c r="M1479" s="81"/>
      <c r="N1479" s="81"/>
      <c r="O1479" s="81"/>
      <c r="Q1479" s="81"/>
    </row>
    <row r="1480" spans="1:17" ht="13.5" thickBot="1">
      <c r="A1480" s="977"/>
      <c r="C1480" s="487" t="s">
        <v>281</v>
      </c>
      <c r="D1480" s="637" t="s">
        <v>923</v>
      </c>
      <c r="E1480" s="492" t="s">
        <v>282</v>
      </c>
      <c r="F1480" s="493"/>
      <c r="G1480" s="493"/>
      <c r="H1480" s="494"/>
      <c r="I1480" s="494"/>
      <c r="J1480" s="480">
        <f>IF(D1476=0,0,D1476/D1479)</f>
        <v>163163.99333333335</v>
      </c>
      <c r="K1480" s="467"/>
      <c r="L1480" s="467" t="s">
        <v>363</v>
      </c>
      <c r="M1480" s="467"/>
      <c r="N1480" s="467"/>
      <c r="O1480" s="467"/>
      <c r="Q1480" s="467"/>
    </row>
    <row r="1481" spans="1:17" ht="38.25">
      <c r="A1481" s="12"/>
      <c r="B1481" s="12"/>
      <c r="C1481" s="495" t="s">
        <v>272</v>
      </c>
      <c r="D1481" s="496" t="s">
        <v>283</v>
      </c>
      <c r="E1481" s="497" t="s">
        <v>284</v>
      </c>
      <c r="F1481" s="496" t="s">
        <v>285</v>
      </c>
      <c r="G1481" s="496" t="s">
        <v>458</v>
      </c>
      <c r="H1481" s="497" t="s">
        <v>356</v>
      </c>
      <c r="I1481" s="498" t="s">
        <v>356</v>
      </c>
      <c r="J1481" s="495" t="s">
        <v>295</v>
      </c>
      <c r="K1481" s="499"/>
      <c r="L1481" s="497" t="s">
        <v>358</v>
      </c>
      <c r="M1481" s="497" t="s">
        <v>364</v>
      </c>
      <c r="N1481" s="497" t="s">
        <v>358</v>
      </c>
      <c r="O1481" s="497" t="s">
        <v>366</v>
      </c>
      <c r="P1481" s="497" t="s">
        <v>286</v>
      </c>
      <c r="Q1481" s="128"/>
    </row>
    <row r="1482" spans="1:17" ht="13.5" thickBot="1">
      <c r="C1482" s="500" t="s">
        <v>177</v>
      </c>
      <c r="D1482" s="501" t="s">
        <v>178</v>
      </c>
      <c r="E1482" s="500" t="s">
        <v>37</v>
      </c>
      <c r="F1482" s="501" t="s">
        <v>178</v>
      </c>
      <c r="G1482" s="501" t="s">
        <v>178</v>
      </c>
      <c r="H1482" s="502" t="s">
        <v>298</v>
      </c>
      <c r="I1482" s="503" t="s">
        <v>300</v>
      </c>
      <c r="J1482" s="500" t="s">
        <v>389</v>
      </c>
      <c r="K1482" s="504"/>
      <c r="L1482" s="502" t="s">
        <v>287</v>
      </c>
      <c r="M1482" s="502" t="s">
        <v>287</v>
      </c>
      <c r="N1482" s="502" t="s">
        <v>467</v>
      </c>
      <c r="O1482" s="502" t="s">
        <v>467</v>
      </c>
      <c r="P1482" s="502" t="s">
        <v>467</v>
      </c>
      <c r="Q1482" s="135"/>
    </row>
    <row r="1483" spans="1:17">
      <c r="C1483" s="505">
        <f>IF(D1477= "","-",D1477)</f>
        <v>2015</v>
      </c>
      <c r="D1483" s="469">
        <f>+D1476</f>
        <v>6852887.7200000007</v>
      </c>
      <c r="E1483" s="506">
        <f>+J1480/12*(12-D1478)</f>
        <v>0</v>
      </c>
      <c r="F1483" s="548">
        <f t="shared" ref="F1483:F1542" si="136">+D1483-E1483</f>
        <v>6852887.7200000007</v>
      </c>
      <c r="G1483" s="469">
        <f t="shared" ref="G1483:G1542" si="137">+(D1483+F1483)/2</f>
        <v>6852887.7200000007</v>
      </c>
      <c r="H1483" s="507">
        <f>+J1478*G1483+E1483</f>
        <v>1027701.9905484585</v>
      </c>
      <c r="I1483" s="508">
        <f>+J1479*G1483+E1483</f>
        <v>1027701.9905484585</v>
      </c>
      <c r="J1483" s="509">
        <f t="shared" ref="J1483:J1542" si="138">+I1483-H1483</f>
        <v>0</v>
      </c>
      <c r="K1483" s="509"/>
      <c r="L1483" s="513">
        <v>1039339</v>
      </c>
      <c r="M1483" s="549">
        <f t="shared" ref="M1483:M1542" si="139">IF(L1483&lt;&gt;0,+H1483-L1483,0)</f>
        <v>-11637.009451541468</v>
      </c>
      <c r="N1483" s="513">
        <v>1039339</v>
      </c>
      <c r="O1483" s="549">
        <f t="shared" ref="O1483:O1542" si="140">IF(N1483&lt;&gt;0,+I1483-N1483,0)</f>
        <v>-11637.009451541468</v>
      </c>
      <c r="P1483" s="549">
        <f t="shared" ref="P1483:P1542" si="141">+O1483-M1483</f>
        <v>0</v>
      </c>
      <c r="Q1483" s="471"/>
    </row>
    <row r="1484" spans="1:17">
      <c r="C1484" s="505">
        <f>IF(D1477="","-",+C1483+1)</f>
        <v>2016</v>
      </c>
      <c r="D1484" s="469">
        <f t="shared" ref="D1484:D1542" si="142">F1483</f>
        <v>6852887.7200000007</v>
      </c>
      <c r="E1484" s="511">
        <f>IF(D1484&gt;$J$1480,$J$1480,D1484)</f>
        <v>163163.99333333335</v>
      </c>
      <c r="F1484" s="511">
        <f t="shared" si="136"/>
        <v>6689723.7266666675</v>
      </c>
      <c r="G1484" s="469">
        <f t="shared" si="137"/>
        <v>6771305.7233333346</v>
      </c>
      <c r="H1484" s="506">
        <f>+J1478*G1484+E1484</f>
        <v>1178631.4363752627</v>
      </c>
      <c r="I1484" s="512">
        <f>+J1479*G1484+E1484</f>
        <v>1178631.4363752627</v>
      </c>
      <c r="J1484" s="509">
        <f t="shared" si="138"/>
        <v>0</v>
      </c>
      <c r="K1484" s="509"/>
      <c r="L1484" s="513">
        <v>1387490</v>
      </c>
      <c r="M1484" s="509">
        <f t="shared" si="139"/>
        <v>-208858.56362473732</v>
      </c>
      <c r="N1484" s="513">
        <v>1387490</v>
      </c>
      <c r="O1484" s="509">
        <f t="shared" si="140"/>
        <v>-208858.56362473732</v>
      </c>
      <c r="P1484" s="509">
        <f t="shared" si="141"/>
        <v>0</v>
      </c>
      <c r="Q1484" s="471"/>
    </row>
    <row r="1485" spans="1:17">
      <c r="C1485" s="505">
        <f>IF(D1477="","-",+C1484+1)</f>
        <v>2017</v>
      </c>
      <c r="D1485" s="469">
        <f t="shared" si="142"/>
        <v>6689723.7266666675</v>
      </c>
      <c r="E1485" s="511">
        <f t="shared" ref="E1485:E1542" si="143">IF(D1485&gt;$J$1480,$J$1480,D1485)</f>
        <v>163163.99333333335</v>
      </c>
      <c r="F1485" s="511">
        <f t="shared" si="136"/>
        <v>6526559.7333333343</v>
      </c>
      <c r="G1485" s="469">
        <f t="shared" si="137"/>
        <v>6608141.7300000004</v>
      </c>
      <c r="H1485" s="506">
        <f>+J1478*G1485+E1485</f>
        <v>1154162.3413622042</v>
      </c>
      <c r="I1485" s="512">
        <f>+J1479*G1485+E1485</f>
        <v>1154162.3413622042</v>
      </c>
      <c r="J1485" s="509">
        <f t="shared" si="138"/>
        <v>0</v>
      </c>
      <c r="K1485" s="509"/>
      <c r="L1485" s="513">
        <v>1411523</v>
      </c>
      <c r="M1485" s="509">
        <f t="shared" si="139"/>
        <v>-257360.65863779583</v>
      </c>
      <c r="N1485" s="513">
        <v>1411523</v>
      </c>
      <c r="O1485" s="509">
        <f t="shared" si="140"/>
        <v>-257360.65863779583</v>
      </c>
      <c r="P1485" s="509">
        <f t="shared" si="141"/>
        <v>0</v>
      </c>
      <c r="Q1485" s="471"/>
    </row>
    <row r="1486" spans="1:17">
      <c r="C1486" s="505">
        <f>IF(D1477="","-",+C1485+1)</f>
        <v>2018</v>
      </c>
      <c r="D1486" s="469">
        <f t="shared" si="142"/>
        <v>6526559.7333333343</v>
      </c>
      <c r="E1486" s="511">
        <f t="shared" si="143"/>
        <v>163163.99333333335</v>
      </c>
      <c r="F1486" s="511">
        <f t="shared" si="136"/>
        <v>6363395.7400000012</v>
      </c>
      <c r="G1486" s="469">
        <f t="shared" si="137"/>
        <v>6444977.7366666682</v>
      </c>
      <c r="H1486" s="506">
        <f>+J1478*G1486+E1486</f>
        <v>1129693.2463491457</v>
      </c>
      <c r="I1486" s="512">
        <f>+J1479*G1486+E1486</f>
        <v>1129693.2463491457</v>
      </c>
      <c r="J1486" s="509">
        <f t="shared" si="138"/>
        <v>0</v>
      </c>
      <c r="K1486" s="509"/>
      <c r="L1486" s="513">
        <v>1133578</v>
      </c>
      <c r="M1486" s="509">
        <f t="shared" si="139"/>
        <v>-3884.7536508543417</v>
      </c>
      <c r="N1486" s="513">
        <v>1133578</v>
      </c>
      <c r="O1486" s="509">
        <f t="shared" si="140"/>
        <v>-3884.7536508543417</v>
      </c>
      <c r="P1486" s="509">
        <f t="shared" si="141"/>
        <v>0</v>
      </c>
      <c r="Q1486" s="471"/>
    </row>
    <row r="1487" spans="1:17">
      <c r="C1487" s="505">
        <f>IF(D1477="","-",+C1486+1)</f>
        <v>2019</v>
      </c>
      <c r="D1487" s="941">
        <f t="shared" si="142"/>
        <v>6363395.7400000012</v>
      </c>
      <c r="E1487" s="511">
        <f t="shared" si="143"/>
        <v>163163.99333333335</v>
      </c>
      <c r="F1487" s="511">
        <f t="shared" si="136"/>
        <v>6200231.746666668</v>
      </c>
      <c r="G1487" s="469">
        <f t="shared" si="137"/>
        <v>6281813.7433333341</v>
      </c>
      <c r="H1487" s="506">
        <f>+J1478*G1487+E1487</f>
        <v>1105224.1513360871</v>
      </c>
      <c r="I1487" s="512">
        <f>+J1479*G1487+E1487</f>
        <v>1105224.1513360871</v>
      </c>
      <c r="J1487" s="509">
        <f t="shared" si="138"/>
        <v>0</v>
      </c>
      <c r="K1487" s="509"/>
      <c r="L1487" s="513">
        <v>1103114</v>
      </c>
      <c r="M1487" s="509">
        <f t="shared" si="139"/>
        <v>2110.1513360871468</v>
      </c>
      <c r="N1487" s="513">
        <v>1103114</v>
      </c>
      <c r="O1487" s="509">
        <f t="shared" si="140"/>
        <v>2110.1513360871468</v>
      </c>
      <c r="P1487" s="509">
        <f t="shared" si="141"/>
        <v>0</v>
      </c>
      <c r="Q1487" s="471"/>
    </row>
    <row r="1488" spans="1:17">
      <c r="C1488" s="505">
        <f>IF(D1477="","-",+C1487+1)</f>
        <v>2020</v>
      </c>
      <c r="D1488" s="941">
        <f t="shared" si="142"/>
        <v>6200231.746666668</v>
      </c>
      <c r="E1488" s="511">
        <f t="shared" si="143"/>
        <v>163163.99333333335</v>
      </c>
      <c r="F1488" s="511">
        <f t="shared" si="136"/>
        <v>6037067.7533333348</v>
      </c>
      <c r="G1488" s="469">
        <f t="shared" si="137"/>
        <v>6118649.7500000019</v>
      </c>
      <c r="H1488" s="506">
        <f>+J1478*G1488+E1488</f>
        <v>1080755.0563230286</v>
      </c>
      <c r="I1488" s="512">
        <f>+J1479*G1488+E1488</f>
        <v>1080755.0563230286</v>
      </c>
      <c r="J1488" s="509">
        <f t="shared" si="138"/>
        <v>0</v>
      </c>
      <c r="K1488" s="509"/>
      <c r="L1488" s="513">
        <v>1063518.9702613764</v>
      </c>
      <c r="M1488" s="509">
        <f t="shared" si="139"/>
        <v>17236.086061652284</v>
      </c>
      <c r="N1488" s="513">
        <v>1063518.9702613764</v>
      </c>
      <c r="O1488" s="509">
        <f t="shared" si="140"/>
        <v>17236.086061652284</v>
      </c>
      <c r="P1488" s="509">
        <f t="shared" si="141"/>
        <v>0</v>
      </c>
      <c r="Q1488" s="471"/>
    </row>
    <row r="1489" spans="3:17">
      <c r="C1489" s="505">
        <f>IF(D1477="","-",+C1488+1)</f>
        <v>2021</v>
      </c>
      <c r="D1489" s="941">
        <f t="shared" si="142"/>
        <v>6037067.7533333348</v>
      </c>
      <c r="E1489" s="511">
        <f t="shared" si="143"/>
        <v>163163.99333333335</v>
      </c>
      <c r="F1489" s="511">
        <f t="shared" si="136"/>
        <v>5873903.7600000016</v>
      </c>
      <c r="G1489" s="469">
        <f t="shared" si="137"/>
        <v>5955485.7566666678</v>
      </c>
      <c r="H1489" s="506">
        <f>+J1478*G1489+E1489</f>
        <v>1056285.9613099701</v>
      </c>
      <c r="I1489" s="512">
        <f>+J1479*G1489+E1489</f>
        <v>1056285.9613099701</v>
      </c>
      <c r="J1489" s="509">
        <f t="shared" si="138"/>
        <v>0</v>
      </c>
      <c r="K1489" s="509"/>
      <c r="L1489" s="513">
        <v>1015315.1476237839</v>
      </c>
      <c r="M1489" s="509">
        <f t="shared" si="139"/>
        <v>40970.813686186215</v>
      </c>
      <c r="N1489" s="513">
        <v>1015315.1476237839</v>
      </c>
      <c r="O1489" s="509">
        <f t="shared" si="140"/>
        <v>40970.813686186215</v>
      </c>
      <c r="P1489" s="509">
        <f t="shared" si="141"/>
        <v>0</v>
      </c>
      <c r="Q1489" s="471"/>
    </row>
    <row r="1490" spans="3:17">
      <c r="C1490" s="505">
        <f>IF(D1477="","-",+C1489+1)</f>
        <v>2022</v>
      </c>
      <c r="D1490" s="469">
        <f t="shared" si="142"/>
        <v>5873903.7600000016</v>
      </c>
      <c r="E1490" s="511">
        <f t="shared" si="143"/>
        <v>163163.99333333335</v>
      </c>
      <c r="F1490" s="511">
        <f t="shared" si="136"/>
        <v>5710739.7666666685</v>
      </c>
      <c r="G1490" s="469">
        <f t="shared" si="137"/>
        <v>5792321.7633333355</v>
      </c>
      <c r="H1490" s="506">
        <f>+J1478*G1490+E1490</f>
        <v>1031816.8662969116</v>
      </c>
      <c r="I1490" s="512">
        <f>+J1479*G1490+E1490</f>
        <v>1031816.8662969116</v>
      </c>
      <c r="J1490" s="509">
        <f t="shared" si="138"/>
        <v>0</v>
      </c>
      <c r="K1490" s="509"/>
      <c r="L1490" s="513">
        <v>997129.15518390015</v>
      </c>
      <c r="M1490" s="509">
        <f t="shared" si="139"/>
        <v>34687.711113011464</v>
      </c>
      <c r="N1490" s="513">
        <v>997129.15518390015</v>
      </c>
      <c r="O1490" s="509">
        <f t="shared" si="140"/>
        <v>34687.711113011464</v>
      </c>
      <c r="P1490" s="509">
        <f t="shared" si="141"/>
        <v>0</v>
      </c>
      <c r="Q1490" s="471"/>
    </row>
    <row r="1491" spans="3:17">
      <c r="C1491" s="505">
        <f>IF(D1477="","-",+C1490+1)</f>
        <v>2023</v>
      </c>
      <c r="D1491" s="469">
        <f t="shared" si="142"/>
        <v>5710739.7666666685</v>
      </c>
      <c r="E1491" s="511">
        <f t="shared" si="143"/>
        <v>163163.99333333335</v>
      </c>
      <c r="F1491" s="511">
        <f t="shared" si="136"/>
        <v>5547575.7733333353</v>
      </c>
      <c r="G1491" s="469">
        <f t="shared" si="137"/>
        <v>5629157.7700000014</v>
      </c>
      <c r="H1491" s="506">
        <f>+J1478*G1491+E1491</f>
        <v>1007347.7712838531</v>
      </c>
      <c r="I1491" s="512">
        <f>+J1479*G1491+E1491</f>
        <v>1007347.7712838531</v>
      </c>
      <c r="J1491" s="509">
        <f t="shared" si="138"/>
        <v>0</v>
      </c>
      <c r="K1491" s="509"/>
      <c r="L1491" s="513">
        <v>1013103.0089933022</v>
      </c>
      <c r="M1491" s="509">
        <f t="shared" si="139"/>
        <v>-5755.2377094491385</v>
      </c>
      <c r="N1491" s="513">
        <v>1013103.0089933022</v>
      </c>
      <c r="O1491" s="509">
        <f t="shared" si="140"/>
        <v>-5755.2377094491385</v>
      </c>
      <c r="P1491" s="509">
        <f t="shared" si="141"/>
        <v>0</v>
      </c>
      <c r="Q1491" s="471"/>
    </row>
    <row r="1492" spans="3:17">
      <c r="C1492" s="963">
        <f>IF(D1477="","-",+C1491+1)</f>
        <v>2024</v>
      </c>
      <c r="D1492" s="469">
        <f t="shared" si="142"/>
        <v>5547575.7733333353</v>
      </c>
      <c r="E1492" s="511">
        <f t="shared" si="143"/>
        <v>163163.99333333335</v>
      </c>
      <c r="F1492" s="511">
        <f t="shared" si="136"/>
        <v>5384411.7800000021</v>
      </c>
      <c r="G1492" s="469">
        <f t="shared" si="137"/>
        <v>5465993.7766666692</v>
      </c>
      <c r="H1492" s="506">
        <f>+J1478*G1492+E1492</f>
        <v>982878.67627079459</v>
      </c>
      <c r="I1492" s="512">
        <f>+J1479*G1492+E1492</f>
        <v>982878.67627079459</v>
      </c>
      <c r="J1492" s="509">
        <f t="shared" si="138"/>
        <v>0</v>
      </c>
      <c r="K1492" s="509"/>
      <c r="L1492" s="513">
        <v>984437.62982597155</v>
      </c>
      <c r="M1492" s="509">
        <f t="shared" si="139"/>
        <v>-1558.9535551769659</v>
      </c>
      <c r="N1492" s="513">
        <v>984437.62982597155</v>
      </c>
      <c r="O1492" s="509">
        <f t="shared" si="140"/>
        <v>-1558.9535551769659</v>
      </c>
      <c r="P1492" s="509">
        <f t="shared" si="141"/>
        <v>0</v>
      </c>
      <c r="Q1492" s="471"/>
    </row>
    <row r="1493" spans="3:17">
      <c r="C1493" s="505">
        <f>IF(D1477="","-",+C1492+1)</f>
        <v>2025</v>
      </c>
      <c r="D1493" s="469">
        <f t="shared" si="142"/>
        <v>5384411.7800000021</v>
      </c>
      <c r="E1493" s="511">
        <f t="shared" si="143"/>
        <v>163163.99333333335</v>
      </c>
      <c r="F1493" s="511">
        <f t="shared" si="136"/>
        <v>5221247.786666669</v>
      </c>
      <c r="G1493" s="469">
        <f t="shared" si="137"/>
        <v>5302829.7833333351</v>
      </c>
      <c r="H1493" s="506">
        <f>+J1478*G1493+E1493</f>
        <v>958409.58125773608</v>
      </c>
      <c r="I1493" s="512">
        <f>+J1479*G1493+E1493</f>
        <v>958409.58125773608</v>
      </c>
      <c r="J1493" s="509">
        <f t="shared" si="138"/>
        <v>0</v>
      </c>
      <c r="K1493" s="509"/>
      <c r="L1493" s="513">
        <v>931983.38659896457</v>
      </c>
      <c r="M1493" s="509">
        <f t="shared" si="139"/>
        <v>26426.194658771507</v>
      </c>
      <c r="N1493" s="513">
        <v>931983.38659896457</v>
      </c>
      <c r="O1493" s="509">
        <f t="shared" si="140"/>
        <v>26426.194658771507</v>
      </c>
      <c r="P1493" s="509">
        <f t="shared" si="141"/>
        <v>0</v>
      </c>
      <c r="Q1493" s="471"/>
    </row>
    <row r="1494" spans="3:17">
      <c r="C1494" s="505">
        <f>IF(D1477="","-",+C1493+1)</f>
        <v>2026</v>
      </c>
      <c r="D1494" s="469">
        <f t="shared" si="142"/>
        <v>5221247.786666669</v>
      </c>
      <c r="E1494" s="511">
        <f t="shared" si="143"/>
        <v>163163.99333333335</v>
      </c>
      <c r="F1494" s="511">
        <f t="shared" si="136"/>
        <v>5058083.7933333358</v>
      </c>
      <c r="G1494" s="469">
        <f t="shared" si="137"/>
        <v>5139665.7900000028</v>
      </c>
      <c r="H1494" s="506">
        <f>+J1478*G1494+E1494</f>
        <v>933940.48624467757</v>
      </c>
      <c r="I1494" s="512">
        <f>+J1479*G1494+E1494</f>
        <v>933940.48624467757</v>
      </c>
      <c r="J1494" s="509">
        <f t="shared" si="138"/>
        <v>0</v>
      </c>
      <c r="K1494" s="509"/>
      <c r="L1494" s="513"/>
      <c r="M1494" s="509">
        <f t="shared" si="139"/>
        <v>0</v>
      </c>
      <c r="N1494" s="513"/>
      <c r="O1494" s="509">
        <f t="shared" si="140"/>
        <v>0</v>
      </c>
      <c r="P1494" s="509">
        <f t="shared" si="141"/>
        <v>0</v>
      </c>
      <c r="Q1494" s="471"/>
    </row>
    <row r="1495" spans="3:17">
      <c r="C1495" s="505">
        <f>IF(D1477="","-",+C1494+1)</f>
        <v>2027</v>
      </c>
      <c r="D1495" s="469">
        <f t="shared" si="142"/>
        <v>5058083.7933333358</v>
      </c>
      <c r="E1495" s="511">
        <f t="shared" si="143"/>
        <v>163163.99333333335</v>
      </c>
      <c r="F1495" s="511">
        <f t="shared" si="136"/>
        <v>4894919.8000000026</v>
      </c>
      <c r="G1495" s="469">
        <f t="shared" si="137"/>
        <v>4976501.7966666687</v>
      </c>
      <c r="H1495" s="506">
        <f>+J1478*G1495+E1495</f>
        <v>909471.39123161905</v>
      </c>
      <c r="I1495" s="512">
        <f>+J1479*G1495+E1495</f>
        <v>909471.39123161905</v>
      </c>
      <c r="J1495" s="509">
        <f t="shared" si="138"/>
        <v>0</v>
      </c>
      <c r="K1495" s="509"/>
      <c r="L1495" s="513"/>
      <c r="M1495" s="509">
        <f t="shared" si="139"/>
        <v>0</v>
      </c>
      <c r="N1495" s="513"/>
      <c r="O1495" s="509">
        <f t="shared" si="140"/>
        <v>0</v>
      </c>
      <c r="P1495" s="509">
        <f t="shared" si="141"/>
        <v>0</v>
      </c>
      <c r="Q1495" s="471"/>
    </row>
    <row r="1496" spans="3:17">
      <c r="C1496" s="505">
        <f>IF(D1477="","-",+C1495+1)</f>
        <v>2028</v>
      </c>
      <c r="D1496" s="469">
        <f t="shared" si="142"/>
        <v>4894919.8000000026</v>
      </c>
      <c r="E1496" s="511">
        <f t="shared" si="143"/>
        <v>163163.99333333335</v>
      </c>
      <c r="F1496" s="511">
        <f t="shared" si="136"/>
        <v>4731755.8066666694</v>
      </c>
      <c r="G1496" s="469">
        <f t="shared" si="137"/>
        <v>4813337.8033333365</v>
      </c>
      <c r="H1496" s="506">
        <f>+J1478*G1496+E1496</f>
        <v>885002.29621856054</v>
      </c>
      <c r="I1496" s="512">
        <f>+J1479*G1496+E1496</f>
        <v>885002.29621856054</v>
      </c>
      <c r="J1496" s="509">
        <f t="shared" si="138"/>
        <v>0</v>
      </c>
      <c r="K1496" s="509"/>
      <c r="L1496" s="513"/>
      <c r="M1496" s="509">
        <f t="shared" si="139"/>
        <v>0</v>
      </c>
      <c r="N1496" s="513"/>
      <c r="O1496" s="509">
        <f t="shared" si="140"/>
        <v>0</v>
      </c>
      <c r="P1496" s="509">
        <f t="shared" si="141"/>
        <v>0</v>
      </c>
      <c r="Q1496" s="471"/>
    </row>
    <row r="1497" spans="3:17">
      <c r="C1497" s="505">
        <f>IF(D1477="","-",+C1496+1)</f>
        <v>2029</v>
      </c>
      <c r="D1497" s="469">
        <f t="shared" si="142"/>
        <v>4731755.8066666694</v>
      </c>
      <c r="E1497" s="511">
        <f t="shared" si="143"/>
        <v>163163.99333333335</v>
      </c>
      <c r="F1497" s="511">
        <f t="shared" si="136"/>
        <v>4568591.8133333363</v>
      </c>
      <c r="G1497" s="469">
        <f t="shared" si="137"/>
        <v>4650173.8100000024</v>
      </c>
      <c r="H1497" s="506">
        <f>+J1478*G1497+E1497</f>
        <v>860533.20120550203</v>
      </c>
      <c r="I1497" s="512">
        <f>+J1479*G1497+E1497</f>
        <v>860533.20120550203</v>
      </c>
      <c r="J1497" s="509">
        <f t="shared" si="138"/>
        <v>0</v>
      </c>
      <c r="K1497" s="509"/>
      <c r="L1497" s="513"/>
      <c r="M1497" s="509">
        <f t="shared" si="139"/>
        <v>0</v>
      </c>
      <c r="N1497" s="513"/>
      <c r="O1497" s="509">
        <f t="shared" si="140"/>
        <v>0</v>
      </c>
      <c r="P1497" s="509">
        <f t="shared" si="141"/>
        <v>0</v>
      </c>
      <c r="Q1497" s="471"/>
    </row>
    <row r="1498" spans="3:17">
      <c r="C1498" s="505">
        <f>IF(D1477="","-",+C1497+1)</f>
        <v>2030</v>
      </c>
      <c r="D1498" s="469">
        <f t="shared" si="142"/>
        <v>4568591.8133333363</v>
      </c>
      <c r="E1498" s="511">
        <f t="shared" si="143"/>
        <v>163163.99333333335</v>
      </c>
      <c r="F1498" s="511">
        <f t="shared" si="136"/>
        <v>4405427.8200000031</v>
      </c>
      <c r="G1498" s="469">
        <f t="shared" si="137"/>
        <v>4487009.8166666701</v>
      </c>
      <c r="H1498" s="506">
        <f>+J1478*G1498+E1498</f>
        <v>836064.10619244352</v>
      </c>
      <c r="I1498" s="512">
        <f>+J1479*G1498+E1498</f>
        <v>836064.10619244352</v>
      </c>
      <c r="J1498" s="509">
        <f t="shared" si="138"/>
        <v>0</v>
      </c>
      <c r="K1498" s="509"/>
      <c r="L1498" s="513"/>
      <c r="M1498" s="509">
        <f t="shared" si="139"/>
        <v>0</v>
      </c>
      <c r="N1498" s="513"/>
      <c r="O1498" s="509">
        <f t="shared" si="140"/>
        <v>0</v>
      </c>
      <c r="P1498" s="509">
        <f t="shared" si="141"/>
        <v>0</v>
      </c>
      <c r="Q1498" s="471"/>
    </row>
    <row r="1499" spans="3:17">
      <c r="C1499" s="505">
        <f>IF(D1477="","-",+C1498+1)</f>
        <v>2031</v>
      </c>
      <c r="D1499" s="469">
        <f t="shared" si="142"/>
        <v>4405427.8200000031</v>
      </c>
      <c r="E1499" s="511">
        <f t="shared" si="143"/>
        <v>163163.99333333335</v>
      </c>
      <c r="F1499" s="511">
        <f t="shared" si="136"/>
        <v>4242263.8266666699</v>
      </c>
      <c r="G1499" s="469">
        <f t="shared" si="137"/>
        <v>4323845.823333336</v>
      </c>
      <c r="H1499" s="506">
        <f>+J1478*G1499+E1499</f>
        <v>811595.01117938501</v>
      </c>
      <c r="I1499" s="512">
        <f>+J1479*G1499+E1499</f>
        <v>811595.01117938501</v>
      </c>
      <c r="J1499" s="509">
        <f t="shared" si="138"/>
        <v>0</v>
      </c>
      <c r="K1499" s="509"/>
      <c r="L1499" s="513"/>
      <c r="M1499" s="509">
        <f t="shared" si="139"/>
        <v>0</v>
      </c>
      <c r="N1499" s="513"/>
      <c r="O1499" s="509">
        <f t="shared" si="140"/>
        <v>0</v>
      </c>
      <c r="P1499" s="509">
        <f t="shared" si="141"/>
        <v>0</v>
      </c>
      <c r="Q1499" s="471"/>
    </row>
    <row r="1500" spans="3:17">
      <c r="C1500" s="505">
        <f>IF(D1477="","-",+C1499+1)</f>
        <v>2032</v>
      </c>
      <c r="D1500" s="469">
        <f t="shared" si="142"/>
        <v>4242263.8266666699</v>
      </c>
      <c r="E1500" s="511">
        <f t="shared" si="143"/>
        <v>163163.99333333335</v>
      </c>
      <c r="F1500" s="511">
        <f t="shared" si="136"/>
        <v>4079099.8333333367</v>
      </c>
      <c r="G1500" s="469">
        <f t="shared" si="137"/>
        <v>4160681.8300000033</v>
      </c>
      <c r="H1500" s="506">
        <f>+J1478*G1500+E1500</f>
        <v>787125.9161663265</v>
      </c>
      <c r="I1500" s="512">
        <f>+J1479*G1500+E1500</f>
        <v>787125.9161663265</v>
      </c>
      <c r="J1500" s="509">
        <f t="shared" si="138"/>
        <v>0</v>
      </c>
      <c r="K1500" s="509"/>
      <c r="L1500" s="513"/>
      <c r="M1500" s="509">
        <f t="shared" si="139"/>
        <v>0</v>
      </c>
      <c r="N1500" s="513"/>
      <c r="O1500" s="509">
        <f t="shared" si="140"/>
        <v>0</v>
      </c>
      <c r="P1500" s="509">
        <f t="shared" si="141"/>
        <v>0</v>
      </c>
      <c r="Q1500" s="471"/>
    </row>
    <row r="1501" spans="3:17">
      <c r="C1501" s="505">
        <f>IF(D1477="","-",+C1500+1)</f>
        <v>2033</v>
      </c>
      <c r="D1501" s="469">
        <f t="shared" si="142"/>
        <v>4079099.8333333367</v>
      </c>
      <c r="E1501" s="511">
        <f t="shared" si="143"/>
        <v>163163.99333333335</v>
      </c>
      <c r="F1501" s="511">
        <f t="shared" si="136"/>
        <v>3915935.8400000036</v>
      </c>
      <c r="G1501" s="469">
        <f t="shared" si="137"/>
        <v>3997517.8366666702</v>
      </c>
      <c r="H1501" s="506">
        <f>+J1478*G1501+E1501</f>
        <v>762656.82115326799</v>
      </c>
      <c r="I1501" s="512">
        <f>+J1479*G1501+E1501</f>
        <v>762656.82115326799</v>
      </c>
      <c r="J1501" s="509">
        <f t="shared" si="138"/>
        <v>0</v>
      </c>
      <c r="K1501" s="509"/>
      <c r="L1501" s="513"/>
      <c r="M1501" s="509">
        <f t="shared" si="139"/>
        <v>0</v>
      </c>
      <c r="N1501" s="513"/>
      <c r="O1501" s="509">
        <f t="shared" si="140"/>
        <v>0</v>
      </c>
      <c r="P1501" s="509">
        <f t="shared" si="141"/>
        <v>0</v>
      </c>
      <c r="Q1501" s="471"/>
    </row>
    <row r="1502" spans="3:17">
      <c r="C1502" s="505">
        <f>IF(D1477="","-",+C1501+1)</f>
        <v>2034</v>
      </c>
      <c r="D1502" s="469">
        <f t="shared" si="142"/>
        <v>3915935.8400000036</v>
      </c>
      <c r="E1502" s="511">
        <f t="shared" si="143"/>
        <v>163163.99333333335</v>
      </c>
      <c r="F1502" s="511">
        <f t="shared" si="136"/>
        <v>3752771.8466666704</v>
      </c>
      <c r="G1502" s="469">
        <f t="shared" si="137"/>
        <v>3834353.843333337</v>
      </c>
      <c r="H1502" s="506">
        <f>+J1478*G1502+E1502</f>
        <v>738187.72614020947</v>
      </c>
      <c r="I1502" s="512">
        <f>+J1479*G1502+E1502</f>
        <v>738187.72614020947</v>
      </c>
      <c r="J1502" s="509">
        <f t="shared" si="138"/>
        <v>0</v>
      </c>
      <c r="K1502" s="509"/>
      <c r="L1502" s="513"/>
      <c r="M1502" s="509">
        <f t="shared" si="139"/>
        <v>0</v>
      </c>
      <c r="N1502" s="513"/>
      <c r="O1502" s="509">
        <f t="shared" si="140"/>
        <v>0</v>
      </c>
      <c r="P1502" s="509">
        <f t="shared" si="141"/>
        <v>0</v>
      </c>
      <c r="Q1502" s="471"/>
    </row>
    <row r="1503" spans="3:17">
      <c r="C1503" s="505">
        <f>IF(D1477="","-",+C1502+1)</f>
        <v>2035</v>
      </c>
      <c r="D1503" s="469">
        <f t="shared" si="142"/>
        <v>3752771.8466666704</v>
      </c>
      <c r="E1503" s="511">
        <f t="shared" si="143"/>
        <v>163163.99333333335</v>
      </c>
      <c r="F1503" s="511">
        <f t="shared" si="136"/>
        <v>3589607.8533333372</v>
      </c>
      <c r="G1503" s="469">
        <f t="shared" si="137"/>
        <v>3671189.8500000038</v>
      </c>
      <c r="H1503" s="506">
        <f>+J1478*G1503+E1503</f>
        <v>713718.63112715096</v>
      </c>
      <c r="I1503" s="512">
        <f>+J1479*G1503+E1503</f>
        <v>713718.63112715096</v>
      </c>
      <c r="J1503" s="509">
        <f t="shared" si="138"/>
        <v>0</v>
      </c>
      <c r="K1503" s="509"/>
      <c r="L1503" s="513"/>
      <c r="M1503" s="509">
        <f t="shared" si="139"/>
        <v>0</v>
      </c>
      <c r="N1503" s="513"/>
      <c r="O1503" s="509">
        <f t="shared" si="140"/>
        <v>0</v>
      </c>
      <c r="P1503" s="509">
        <f t="shared" si="141"/>
        <v>0</v>
      </c>
      <c r="Q1503" s="471"/>
    </row>
    <row r="1504" spans="3:17">
      <c r="C1504" s="505">
        <f>IF(D1477="","-",+C1503+1)</f>
        <v>2036</v>
      </c>
      <c r="D1504" s="469">
        <f t="shared" si="142"/>
        <v>3589607.8533333372</v>
      </c>
      <c r="E1504" s="511">
        <f t="shared" si="143"/>
        <v>163163.99333333335</v>
      </c>
      <c r="F1504" s="511">
        <f t="shared" si="136"/>
        <v>3426443.8600000041</v>
      </c>
      <c r="G1504" s="469">
        <f t="shared" si="137"/>
        <v>3508025.8566666706</v>
      </c>
      <c r="H1504" s="506">
        <f>+J1478*G1504+E1504</f>
        <v>689249.53611409245</v>
      </c>
      <c r="I1504" s="512">
        <f>+J1479*G1504+E1504</f>
        <v>689249.53611409245</v>
      </c>
      <c r="J1504" s="509">
        <f t="shared" si="138"/>
        <v>0</v>
      </c>
      <c r="K1504" s="509"/>
      <c r="L1504" s="513"/>
      <c r="M1504" s="509">
        <f t="shared" si="139"/>
        <v>0</v>
      </c>
      <c r="N1504" s="513"/>
      <c r="O1504" s="509">
        <f t="shared" si="140"/>
        <v>0</v>
      </c>
      <c r="P1504" s="509">
        <f t="shared" si="141"/>
        <v>0</v>
      </c>
      <c r="Q1504" s="471"/>
    </row>
    <row r="1505" spans="3:17">
      <c r="C1505" s="505">
        <f>IF(D1477="","-",+C1504+1)</f>
        <v>2037</v>
      </c>
      <c r="D1505" s="469">
        <f t="shared" si="142"/>
        <v>3426443.8600000041</v>
      </c>
      <c r="E1505" s="511">
        <f t="shared" si="143"/>
        <v>163163.99333333335</v>
      </c>
      <c r="F1505" s="511">
        <f t="shared" si="136"/>
        <v>3263279.8666666709</v>
      </c>
      <c r="G1505" s="469">
        <f t="shared" si="137"/>
        <v>3344861.8633333375</v>
      </c>
      <c r="H1505" s="506">
        <f>+J1478*G1505+E1505</f>
        <v>664780.44110103394</v>
      </c>
      <c r="I1505" s="512">
        <f>+J1479*G1505+E1505</f>
        <v>664780.44110103394</v>
      </c>
      <c r="J1505" s="509">
        <f t="shared" si="138"/>
        <v>0</v>
      </c>
      <c r="K1505" s="509"/>
      <c r="L1505" s="513"/>
      <c r="M1505" s="509">
        <f t="shared" si="139"/>
        <v>0</v>
      </c>
      <c r="N1505" s="513"/>
      <c r="O1505" s="509">
        <f t="shared" si="140"/>
        <v>0</v>
      </c>
      <c r="P1505" s="509">
        <f t="shared" si="141"/>
        <v>0</v>
      </c>
      <c r="Q1505" s="471"/>
    </row>
    <row r="1506" spans="3:17">
      <c r="C1506" s="505">
        <f>IF(D1477="","-",+C1505+1)</f>
        <v>2038</v>
      </c>
      <c r="D1506" s="469">
        <f t="shared" si="142"/>
        <v>3263279.8666666709</v>
      </c>
      <c r="E1506" s="511">
        <f t="shared" si="143"/>
        <v>163163.99333333335</v>
      </c>
      <c r="F1506" s="511">
        <f t="shared" si="136"/>
        <v>3100115.8733333377</v>
      </c>
      <c r="G1506" s="469">
        <f t="shared" si="137"/>
        <v>3181697.8700000043</v>
      </c>
      <c r="H1506" s="506">
        <f>+J1478*G1506+E1506</f>
        <v>640311.34608797543</v>
      </c>
      <c r="I1506" s="512">
        <f>+J1479*G1506+E1506</f>
        <v>640311.34608797543</v>
      </c>
      <c r="J1506" s="509">
        <f t="shared" si="138"/>
        <v>0</v>
      </c>
      <c r="K1506" s="509"/>
      <c r="L1506" s="513"/>
      <c r="M1506" s="509">
        <f t="shared" si="139"/>
        <v>0</v>
      </c>
      <c r="N1506" s="513"/>
      <c r="O1506" s="509">
        <f t="shared" si="140"/>
        <v>0</v>
      </c>
      <c r="P1506" s="509">
        <f t="shared" si="141"/>
        <v>0</v>
      </c>
      <c r="Q1506" s="471"/>
    </row>
    <row r="1507" spans="3:17">
      <c r="C1507" s="505">
        <f>IF(D1477="","-",+C1506+1)</f>
        <v>2039</v>
      </c>
      <c r="D1507" s="469">
        <f t="shared" si="142"/>
        <v>3100115.8733333377</v>
      </c>
      <c r="E1507" s="511">
        <f t="shared" si="143"/>
        <v>163163.99333333335</v>
      </c>
      <c r="F1507" s="511">
        <f t="shared" si="136"/>
        <v>2936951.8800000045</v>
      </c>
      <c r="G1507" s="469">
        <f t="shared" si="137"/>
        <v>3018533.8766666711</v>
      </c>
      <c r="H1507" s="506">
        <f>+J1478*G1507+E1507</f>
        <v>615842.25107491692</v>
      </c>
      <c r="I1507" s="512">
        <f>+J1479*G1507+E1507</f>
        <v>615842.25107491692</v>
      </c>
      <c r="J1507" s="509">
        <f t="shared" si="138"/>
        <v>0</v>
      </c>
      <c r="K1507" s="509"/>
      <c r="L1507" s="513"/>
      <c r="M1507" s="509">
        <f t="shared" si="139"/>
        <v>0</v>
      </c>
      <c r="N1507" s="513"/>
      <c r="O1507" s="509">
        <f t="shared" si="140"/>
        <v>0</v>
      </c>
      <c r="P1507" s="509">
        <f t="shared" si="141"/>
        <v>0</v>
      </c>
      <c r="Q1507" s="471"/>
    </row>
    <row r="1508" spans="3:17">
      <c r="C1508" s="505">
        <f>IF(D1477="","-",+C1507+1)</f>
        <v>2040</v>
      </c>
      <c r="D1508" s="469">
        <f t="shared" si="142"/>
        <v>2936951.8800000045</v>
      </c>
      <c r="E1508" s="511">
        <f t="shared" si="143"/>
        <v>163163.99333333335</v>
      </c>
      <c r="F1508" s="511">
        <f t="shared" si="136"/>
        <v>2773787.8866666714</v>
      </c>
      <c r="G1508" s="469">
        <f t="shared" si="137"/>
        <v>2855369.883333338</v>
      </c>
      <c r="H1508" s="506">
        <f>+J1478*G1508+E1508</f>
        <v>591373.1560618584</v>
      </c>
      <c r="I1508" s="512">
        <f>+J1479*G1508+E1508</f>
        <v>591373.1560618584</v>
      </c>
      <c r="J1508" s="509">
        <f t="shared" si="138"/>
        <v>0</v>
      </c>
      <c r="K1508" s="509"/>
      <c r="L1508" s="513"/>
      <c r="M1508" s="509">
        <f t="shared" si="139"/>
        <v>0</v>
      </c>
      <c r="N1508" s="513"/>
      <c r="O1508" s="509">
        <f t="shared" si="140"/>
        <v>0</v>
      </c>
      <c r="P1508" s="509">
        <f t="shared" si="141"/>
        <v>0</v>
      </c>
      <c r="Q1508" s="471"/>
    </row>
    <row r="1509" spans="3:17">
      <c r="C1509" s="505">
        <f>IF(D1477="","-",+C1508+1)</f>
        <v>2041</v>
      </c>
      <c r="D1509" s="469">
        <f t="shared" si="142"/>
        <v>2773787.8866666714</v>
      </c>
      <c r="E1509" s="511">
        <f t="shared" si="143"/>
        <v>163163.99333333335</v>
      </c>
      <c r="F1509" s="511">
        <f t="shared" si="136"/>
        <v>2610623.8933333382</v>
      </c>
      <c r="G1509" s="469">
        <f t="shared" si="137"/>
        <v>2692205.8900000048</v>
      </c>
      <c r="H1509" s="506">
        <f>+J1478*G1509+E1509</f>
        <v>566904.06104879989</v>
      </c>
      <c r="I1509" s="512">
        <f>+J1479*G1509+E1509</f>
        <v>566904.06104879989</v>
      </c>
      <c r="J1509" s="509">
        <f t="shared" si="138"/>
        <v>0</v>
      </c>
      <c r="K1509" s="509"/>
      <c r="L1509" s="513"/>
      <c r="M1509" s="509">
        <f t="shared" si="139"/>
        <v>0</v>
      </c>
      <c r="N1509" s="513"/>
      <c r="O1509" s="509">
        <f t="shared" si="140"/>
        <v>0</v>
      </c>
      <c r="P1509" s="509">
        <f t="shared" si="141"/>
        <v>0</v>
      </c>
      <c r="Q1509" s="471"/>
    </row>
    <row r="1510" spans="3:17">
      <c r="C1510" s="505">
        <f>IF(D1477="","-",+C1509+1)</f>
        <v>2042</v>
      </c>
      <c r="D1510" s="469">
        <f t="shared" si="142"/>
        <v>2610623.8933333382</v>
      </c>
      <c r="E1510" s="511">
        <f t="shared" si="143"/>
        <v>163163.99333333335</v>
      </c>
      <c r="F1510" s="511">
        <f t="shared" si="136"/>
        <v>2447459.900000005</v>
      </c>
      <c r="G1510" s="469">
        <f t="shared" si="137"/>
        <v>2529041.8966666716</v>
      </c>
      <c r="H1510" s="506">
        <f>+J1478*G1510+E1510</f>
        <v>542434.96603574138</v>
      </c>
      <c r="I1510" s="512">
        <f>+J1479*G1510+E1510</f>
        <v>542434.96603574138</v>
      </c>
      <c r="J1510" s="509">
        <f t="shared" si="138"/>
        <v>0</v>
      </c>
      <c r="K1510" s="509"/>
      <c r="L1510" s="513"/>
      <c r="M1510" s="509">
        <f t="shared" si="139"/>
        <v>0</v>
      </c>
      <c r="N1510" s="513"/>
      <c r="O1510" s="509">
        <f t="shared" si="140"/>
        <v>0</v>
      </c>
      <c r="P1510" s="509">
        <f t="shared" si="141"/>
        <v>0</v>
      </c>
      <c r="Q1510" s="471"/>
    </row>
    <row r="1511" spans="3:17">
      <c r="C1511" s="505">
        <f>IF(D1477="","-",+C1510+1)</f>
        <v>2043</v>
      </c>
      <c r="D1511" s="469">
        <f t="shared" si="142"/>
        <v>2447459.900000005</v>
      </c>
      <c r="E1511" s="511">
        <f t="shared" si="143"/>
        <v>163163.99333333335</v>
      </c>
      <c r="F1511" s="511">
        <f t="shared" si="136"/>
        <v>2284295.9066666719</v>
      </c>
      <c r="G1511" s="469">
        <f t="shared" si="137"/>
        <v>2365877.9033333384</v>
      </c>
      <c r="H1511" s="506">
        <f>+J1478*G1511+E1511</f>
        <v>517965.87102268287</v>
      </c>
      <c r="I1511" s="512">
        <f>+J1479*G1511+E1511</f>
        <v>517965.87102268287</v>
      </c>
      <c r="J1511" s="509">
        <f t="shared" si="138"/>
        <v>0</v>
      </c>
      <c r="K1511" s="509"/>
      <c r="L1511" s="513"/>
      <c r="M1511" s="509">
        <f t="shared" si="139"/>
        <v>0</v>
      </c>
      <c r="N1511" s="513"/>
      <c r="O1511" s="509">
        <f t="shared" si="140"/>
        <v>0</v>
      </c>
      <c r="P1511" s="509">
        <f t="shared" si="141"/>
        <v>0</v>
      </c>
      <c r="Q1511" s="471"/>
    </row>
    <row r="1512" spans="3:17">
      <c r="C1512" s="505">
        <f>IF(D1477="","-",+C1511+1)</f>
        <v>2044</v>
      </c>
      <c r="D1512" s="469">
        <f t="shared" si="142"/>
        <v>2284295.9066666719</v>
      </c>
      <c r="E1512" s="511">
        <f t="shared" si="143"/>
        <v>163163.99333333335</v>
      </c>
      <c r="F1512" s="511">
        <f t="shared" si="136"/>
        <v>2121131.9133333387</v>
      </c>
      <c r="G1512" s="469">
        <f t="shared" si="137"/>
        <v>2202713.9100000053</v>
      </c>
      <c r="H1512" s="506">
        <f>+J1478*G1512+E1512</f>
        <v>493496.77600962436</v>
      </c>
      <c r="I1512" s="512">
        <f>+J1479*G1512+E1512</f>
        <v>493496.77600962436</v>
      </c>
      <c r="J1512" s="509">
        <f t="shared" si="138"/>
        <v>0</v>
      </c>
      <c r="K1512" s="509"/>
      <c r="L1512" s="513"/>
      <c r="M1512" s="509">
        <f t="shared" si="139"/>
        <v>0</v>
      </c>
      <c r="N1512" s="513"/>
      <c r="O1512" s="509">
        <f t="shared" si="140"/>
        <v>0</v>
      </c>
      <c r="P1512" s="509">
        <f t="shared" si="141"/>
        <v>0</v>
      </c>
      <c r="Q1512" s="471"/>
    </row>
    <row r="1513" spans="3:17">
      <c r="C1513" s="505">
        <f>IF(D1477="","-",+C1512+1)</f>
        <v>2045</v>
      </c>
      <c r="D1513" s="469">
        <f t="shared" si="142"/>
        <v>2121131.9133333387</v>
      </c>
      <c r="E1513" s="511">
        <f t="shared" si="143"/>
        <v>163163.99333333335</v>
      </c>
      <c r="F1513" s="511">
        <f t="shared" si="136"/>
        <v>1957967.9200000053</v>
      </c>
      <c r="G1513" s="469">
        <f t="shared" si="137"/>
        <v>2039549.9166666721</v>
      </c>
      <c r="H1513" s="506">
        <f>+J1478*G1513+E1513</f>
        <v>469027.68099656585</v>
      </c>
      <c r="I1513" s="512">
        <f>+J1479*G1513+E1513</f>
        <v>469027.68099656585</v>
      </c>
      <c r="J1513" s="509">
        <f t="shared" si="138"/>
        <v>0</v>
      </c>
      <c r="K1513" s="509"/>
      <c r="L1513" s="513"/>
      <c r="M1513" s="509">
        <f t="shared" si="139"/>
        <v>0</v>
      </c>
      <c r="N1513" s="513"/>
      <c r="O1513" s="509">
        <f t="shared" si="140"/>
        <v>0</v>
      </c>
      <c r="P1513" s="509">
        <f t="shared" si="141"/>
        <v>0</v>
      </c>
      <c r="Q1513" s="471"/>
    </row>
    <row r="1514" spans="3:17">
      <c r="C1514" s="505">
        <f>IF(D1477="","-",+C1513+1)</f>
        <v>2046</v>
      </c>
      <c r="D1514" s="469">
        <f t="shared" si="142"/>
        <v>1957967.9200000053</v>
      </c>
      <c r="E1514" s="511">
        <f t="shared" si="143"/>
        <v>163163.99333333335</v>
      </c>
      <c r="F1514" s="511">
        <f t="shared" si="136"/>
        <v>1794803.9266666719</v>
      </c>
      <c r="G1514" s="469">
        <f t="shared" si="137"/>
        <v>1876385.9233333385</v>
      </c>
      <c r="H1514" s="506">
        <f>+J1478*G1514+E1514</f>
        <v>444558.58598350728</v>
      </c>
      <c r="I1514" s="512">
        <f>+J1479*G1514+E1514</f>
        <v>444558.58598350728</v>
      </c>
      <c r="J1514" s="509">
        <f t="shared" si="138"/>
        <v>0</v>
      </c>
      <c r="K1514" s="509"/>
      <c r="L1514" s="513"/>
      <c r="M1514" s="509">
        <f t="shared" si="139"/>
        <v>0</v>
      </c>
      <c r="N1514" s="513"/>
      <c r="O1514" s="509">
        <f t="shared" si="140"/>
        <v>0</v>
      </c>
      <c r="P1514" s="509">
        <f t="shared" si="141"/>
        <v>0</v>
      </c>
      <c r="Q1514" s="471"/>
    </row>
    <row r="1515" spans="3:17">
      <c r="C1515" s="505">
        <f>IF(D1477="","-",+C1514+1)</f>
        <v>2047</v>
      </c>
      <c r="D1515" s="469">
        <f t="shared" si="142"/>
        <v>1794803.9266666719</v>
      </c>
      <c r="E1515" s="511">
        <f t="shared" si="143"/>
        <v>163163.99333333335</v>
      </c>
      <c r="F1515" s="511">
        <f t="shared" si="136"/>
        <v>1631639.9333333385</v>
      </c>
      <c r="G1515" s="469">
        <f t="shared" si="137"/>
        <v>1713221.9300000053</v>
      </c>
      <c r="H1515" s="506">
        <f>+J1478*G1515+E1515</f>
        <v>420089.49097044877</v>
      </c>
      <c r="I1515" s="512">
        <f>+J1479*G1515+E1515</f>
        <v>420089.49097044877</v>
      </c>
      <c r="J1515" s="509">
        <f t="shared" si="138"/>
        <v>0</v>
      </c>
      <c r="K1515" s="509"/>
      <c r="L1515" s="513"/>
      <c r="M1515" s="509">
        <f t="shared" si="139"/>
        <v>0</v>
      </c>
      <c r="N1515" s="513"/>
      <c r="O1515" s="509">
        <f t="shared" si="140"/>
        <v>0</v>
      </c>
      <c r="P1515" s="509">
        <f t="shared" si="141"/>
        <v>0</v>
      </c>
      <c r="Q1515" s="471"/>
    </row>
    <row r="1516" spans="3:17">
      <c r="C1516" s="505">
        <f>IF(D1477="","-",+C1515+1)</f>
        <v>2048</v>
      </c>
      <c r="D1516" s="469">
        <f t="shared" si="142"/>
        <v>1631639.9333333385</v>
      </c>
      <c r="E1516" s="511">
        <f t="shared" si="143"/>
        <v>163163.99333333335</v>
      </c>
      <c r="F1516" s="511">
        <f t="shared" si="136"/>
        <v>1468475.9400000051</v>
      </c>
      <c r="G1516" s="469">
        <f t="shared" si="137"/>
        <v>1550057.9366666717</v>
      </c>
      <c r="H1516" s="506">
        <f>+J1478*G1516+E1516</f>
        <v>395620.3959573902</v>
      </c>
      <c r="I1516" s="512">
        <f>+J1479*G1516+E1516</f>
        <v>395620.3959573902</v>
      </c>
      <c r="J1516" s="509">
        <f t="shared" si="138"/>
        <v>0</v>
      </c>
      <c r="K1516" s="509"/>
      <c r="L1516" s="513"/>
      <c r="M1516" s="509">
        <f t="shared" si="139"/>
        <v>0</v>
      </c>
      <c r="N1516" s="513"/>
      <c r="O1516" s="509">
        <f t="shared" si="140"/>
        <v>0</v>
      </c>
      <c r="P1516" s="509">
        <f t="shared" si="141"/>
        <v>0</v>
      </c>
      <c r="Q1516" s="471"/>
    </row>
    <row r="1517" spans="3:17">
      <c r="C1517" s="505">
        <f>IF(D1477="","-",+C1516+1)</f>
        <v>2049</v>
      </c>
      <c r="D1517" s="469">
        <f t="shared" si="142"/>
        <v>1468475.9400000051</v>
      </c>
      <c r="E1517" s="511">
        <f t="shared" si="143"/>
        <v>163163.99333333335</v>
      </c>
      <c r="F1517" s="511">
        <f t="shared" si="136"/>
        <v>1305311.9466666717</v>
      </c>
      <c r="G1517" s="469">
        <f t="shared" si="137"/>
        <v>1386893.9433333385</v>
      </c>
      <c r="H1517" s="506">
        <f>+J1478*G1517+E1517</f>
        <v>371151.30094433168</v>
      </c>
      <c r="I1517" s="512">
        <f>+J1479*G1517+E1517</f>
        <v>371151.30094433168</v>
      </c>
      <c r="J1517" s="509">
        <f t="shared" si="138"/>
        <v>0</v>
      </c>
      <c r="K1517" s="509"/>
      <c r="L1517" s="513"/>
      <c r="M1517" s="509">
        <f t="shared" si="139"/>
        <v>0</v>
      </c>
      <c r="N1517" s="513"/>
      <c r="O1517" s="509">
        <f t="shared" si="140"/>
        <v>0</v>
      </c>
      <c r="P1517" s="509">
        <f t="shared" si="141"/>
        <v>0</v>
      </c>
      <c r="Q1517" s="471"/>
    </row>
    <row r="1518" spans="3:17">
      <c r="C1518" s="505">
        <f>IF(D1477="","-",+C1517+1)</f>
        <v>2050</v>
      </c>
      <c r="D1518" s="469">
        <f t="shared" si="142"/>
        <v>1305311.9466666717</v>
      </c>
      <c r="E1518" s="511">
        <f t="shared" si="143"/>
        <v>163163.99333333335</v>
      </c>
      <c r="F1518" s="511">
        <f t="shared" si="136"/>
        <v>1142147.9533333383</v>
      </c>
      <c r="G1518" s="469">
        <f t="shared" si="137"/>
        <v>1223729.9500000048</v>
      </c>
      <c r="H1518" s="506">
        <f>+J1478*G1518+E1518</f>
        <v>346682.20593127306</v>
      </c>
      <c r="I1518" s="512">
        <f>+J1479*G1518+E1518</f>
        <v>346682.20593127306</v>
      </c>
      <c r="J1518" s="509">
        <f t="shared" si="138"/>
        <v>0</v>
      </c>
      <c r="K1518" s="509"/>
      <c r="L1518" s="513"/>
      <c r="M1518" s="509">
        <f t="shared" si="139"/>
        <v>0</v>
      </c>
      <c r="N1518" s="513"/>
      <c r="O1518" s="509">
        <f t="shared" si="140"/>
        <v>0</v>
      </c>
      <c r="P1518" s="509">
        <f t="shared" si="141"/>
        <v>0</v>
      </c>
      <c r="Q1518" s="471"/>
    </row>
    <row r="1519" spans="3:17">
      <c r="C1519" s="505">
        <f>IF(D1477="","-",+C1518+1)</f>
        <v>2051</v>
      </c>
      <c r="D1519" s="469">
        <f t="shared" si="142"/>
        <v>1142147.9533333383</v>
      </c>
      <c r="E1519" s="511">
        <f t="shared" si="143"/>
        <v>163163.99333333335</v>
      </c>
      <c r="F1519" s="511">
        <f t="shared" si="136"/>
        <v>978983.96000000485</v>
      </c>
      <c r="G1519" s="469">
        <f t="shared" si="137"/>
        <v>1060565.9566666717</v>
      </c>
      <c r="H1519" s="506">
        <f>+J1478*G1519+E1519</f>
        <v>322213.11091821454</v>
      </c>
      <c r="I1519" s="512">
        <f>+J1479*G1519+E1519</f>
        <v>322213.11091821454</v>
      </c>
      <c r="J1519" s="509">
        <f t="shared" si="138"/>
        <v>0</v>
      </c>
      <c r="K1519" s="509"/>
      <c r="L1519" s="513"/>
      <c r="M1519" s="509">
        <f t="shared" si="139"/>
        <v>0</v>
      </c>
      <c r="N1519" s="513"/>
      <c r="O1519" s="509">
        <f t="shared" si="140"/>
        <v>0</v>
      </c>
      <c r="P1519" s="509">
        <f t="shared" si="141"/>
        <v>0</v>
      </c>
      <c r="Q1519" s="471"/>
    </row>
    <row r="1520" spans="3:17">
      <c r="C1520" s="505">
        <f>IF(D1477="","-",+C1519+1)</f>
        <v>2052</v>
      </c>
      <c r="D1520" s="469">
        <f t="shared" si="142"/>
        <v>978983.96000000485</v>
      </c>
      <c r="E1520" s="511">
        <f t="shared" si="143"/>
        <v>163163.99333333335</v>
      </c>
      <c r="F1520" s="511">
        <f t="shared" si="136"/>
        <v>815819.96666667145</v>
      </c>
      <c r="G1520" s="469">
        <f t="shared" si="137"/>
        <v>897401.96333333815</v>
      </c>
      <c r="H1520" s="506">
        <f>+J1478*G1520+E1520</f>
        <v>297744.01590515603</v>
      </c>
      <c r="I1520" s="512">
        <f>+J1479*G1520+E1520</f>
        <v>297744.01590515603</v>
      </c>
      <c r="J1520" s="509">
        <f t="shared" si="138"/>
        <v>0</v>
      </c>
      <c r="K1520" s="509"/>
      <c r="L1520" s="513"/>
      <c r="M1520" s="509">
        <f t="shared" si="139"/>
        <v>0</v>
      </c>
      <c r="N1520" s="513"/>
      <c r="O1520" s="509">
        <f t="shared" si="140"/>
        <v>0</v>
      </c>
      <c r="P1520" s="509">
        <f t="shared" si="141"/>
        <v>0</v>
      </c>
      <c r="Q1520" s="471"/>
    </row>
    <row r="1521" spans="3:17">
      <c r="C1521" s="505">
        <f>IF(D1477="","-",+C1520+1)</f>
        <v>2053</v>
      </c>
      <c r="D1521" s="469">
        <f t="shared" si="142"/>
        <v>815819.96666667145</v>
      </c>
      <c r="E1521" s="511">
        <f t="shared" si="143"/>
        <v>163163.99333333335</v>
      </c>
      <c r="F1521" s="511">
        <f t="shared" si="136"/>
        <v>652655.97333333804</v>
      </c>
      <c r="G1521" s="469">
        <f t="shared" si="137"/>
        <v>734237.97000000475</v>
      </c>
      <c r="H1521" s="506">
        <f>+J1478*G1521+E1521</f>
        <v>273274.92089209746</v>
      </c>
      <c r="I1521" s="512">
        <f>+J1479*G1521+E1521</f>
        <v>273274.92089209746</v>
      </c>
      <c r="J1521" s="509">
        <f t="shared" si="138"/>
        <v>0</v>
      </c>
      <c r="K1521" s="509"/>
      <c r="L1521" s="513"/>
      <c r="M1521" s="509">
        <f t="shared" si="139"/>
        <v>0</v>
      </c>
      <c r="N1521" s="513"/>
      <c r="O1521" s="509">
        <f t="shared" si="140"/>
        <v>0</v>
      </c>
      <c r="P1521" s="509">
        <f t="shared" si="141"/>
        <v>0</v>
      </c>
      <c r="Q1521" s="471"/>
    </row>
    <row r="1522" spans="3:17">
      <c r="C1522" s="505">
        <f>IF(D1477="","-",+C1521+1)</f>
        <v>2054</v>
      </c>
      <c r="D1522" s="469">
        <f t="shared" si="142"/>
        <v>652655.97333333804</v>
      </c>
      <c r="E1522" s="511">
        <f t="shared" si="143"/>
        <v>163163.99333333335</v>
      </c>
      <c r="F1522" s="511">
        <f t="shared" si="136"/>
        <v>489491.9800000047</v>
      </c>
      <c r="G1522" s="469">
        <f t="shared" si="137"/>
        <v>571073.97666667134</v>
      </c>
      <c r="H1522" s="506">
        <f>+J1478*G1522+E1522</f>
        <v>248805.82587903892</v>
      </c>
      <c r="I1522" s="512">
        <f>+J1479*G1522+E1522</f>
        <v>248805.82587903892</v>
      </c>
      <c r="J1522" s="509">
        <f t="shared" si="138"/>
        <v>0</v>
      </c>
      <c r="K1522" s="509"/>
      <c r="L1522" s="513"/>
      <c r="M1522" s="509">
        <f t="shared" si="139"/>
        <v>0</v>
      </c>
      <c r="N1522" s="513"/>
      <c r="O1522" s="509">
        <f t="shared" si="140"/>
        <v>0</v>
      </c>
      <c r="P1522" s="509">
        <f t="shared" si="141"/>
        <v>0</v>
      </c>
      <c r="Q1522" s="471"/>
    </row>
    <row r="1523" spans="3:17">
      <c r="C1523" s="505">
        <f>IF(D1477="","-",+C1522+1)</f>
        <v>2055</v>
      </c>
      <c r="D1523" s="469">
        <f t="shared" si="142"/>
        <v>489491.9800000047</v>
      </c>
      <c r="E1523" s="511">
        <f t="shared" si="143"/>
        <v>163163.99333333335</v>
      </c>
      <c r="F1523" s="511">
        <f t="shared" si="136"/>
        <v>326327.98666667135</v>
      </c>
      <c r="G1523" s="469">
        <f t="shared" si="137"/>
        <v>407909.98333333805</v>
      </c>
      <c r="H1523" s="506">
        <f>+J1478*G1523+E1523</f>
        <v>224336.73086598038</v>
      </c>
      <c r="I1523" s="512">
        <f>+J1479*G1523+E1523</f>
        <v>224336.73086598038</v>
      </c>
      <c r="J1523" s="509">
        <f t="shared" si="138"/>
        <v>0</v>
      </c>
      <c r="K1523" s="509"/>
      <c r="L1523" s="513"/>
      <c r="M1523" s="509">
        <f t="shared" si="139"/>
        <v>0</v>
      </c>
      <c r="N1523" s="513"/>
      <c r="O1523" s="509">
        <f t="shared" si="140"/>
        <v>0</v>
      </c>
      <c r="P1523" s="509">
        <f t="shared" si="141"/>
        <v>0</v>
      </c>
      <c r="Q1523" s="471"/>
    </row>
    <row r="1524" spans="3:17">
      <c r="C1524" s="505">
        <f>IF(D1477="","-",+C1523+1)</f>
        <v>2056</v>
      </c>
      <c r="D1524" s="469">
        <f t="shared" si="142"/>
        <v>326327.98666667135</v>
      </c>
      <c r="E1524" s="511">
        <f t="shared" si="143"/>
        <v>163163.99333333335</v>
      </c>
      <c r="F1524" s="511">
        <f t="shared" si="136"/>
        <v>163163.993333338</v>
      </c>
      <c r="G1524" s="469">
        <f t="shared" si="137"/>
        <v>244745.99000000468</v>
      </c>
      <c r="H1524" s="506">
        <f>+J1478*G1524+E1524</f>
        <v>199867.63585292184</v>
      </c>
      <c r="I1524" s="512">
        <f>+J1479*G1524+E1524</f>
        <v>199867.63585292184</v>
      </c>
      <c r="J1524" s="509">
        <f t="shared" si="138"/>
        <v>0</v>
      </c>
      <c r="K1524" s="509"/>
      <c r="L1524" s="513"/>
      <c r="M1524" s="509">
        <f t="shared" si="139"/>
        <v>0</v>
      </c>
      <c r="N1524" s="513"/>
      <c r="O1524" s="509">
        <f t="shared" si="140"/>
        <v>0</v>
      </c>
      <c r="P1524" s="509">
        <f t="shared" si="141"/>
        <v>0</v>
      </c>
      <c r="Q1524" s="471"/>
    </row>
    <row r="1525" spans="3:17">
      <c r="C1525" s="505">
        <f>IF(D1477="","-",+C1524+1)</f>
        <v>2057</v>
      </c>
      <c r="D1525" s="469">
        <f t="shared" si="142"/>
        <v>163163.993333338</v>
      </c>
      <c r="E1525" s="511">
        <f t="shared" si="143"/>
        <v>163163.99333333335</v>
      </c>
      <c r="F1525" s="511">
        <f t="shared" si="136"/>
        <v>4.6566128730773926E-9</v>
      </c>
      <c r="G1525" s="469">
        <f t="shared" si="137"/>
        <v>81581.99666667133</v>
      </c>
      <c r="H1525" s="506">
        <f>+J1478*G1525+E1525</f>
        <v>175398.5408398633</v>
      </c>
      <c r="I1525" s="512">
        <f>+J1479*G1525+E1525</f>
        <v>175398.5408398633</v>
      </c>
      <c r="J1525" s="509">
        <f t="shared" si="138"/>
        <v>0</v>
      </c>
      <c r="K1525" s="509"/>
      <c r="L1525" s="513"/>
      <c r="M1525" s="509">
        <f t="shared" si="139"/>
        <v>0</v>
      </c>
      <c r="N1525" s="513"/>
      <c r="O1525" s="509">
        <f t="shared" si="140"/>
        <v>0</v>
      </c>
      <c r="P1525" s="509">
        <f t="shared" si="141"/>
        <v>0</v>
      </c>
      <c r="Q1525" s="471"/>
    </row>
    <row r="1526" spans="3:17">
      <c r="C1526" s="505">
        <f>IF(D1477="","-",+C1525+1)</f>
        <v>2058</v>
      </c>
      <c r="D1526" s="469">
        <f t="shared" si="142"/>
        <v>4.6566128730773926E-9</v>
      </c>
      <c r="E1526" s="511">
        <f t="shared" si="143"/>
        <v>4.6566128730773926E-9</v>
      </c>
      <c r="F1526" s="511">
        <f t="shared" si="136"/>
        <v>0</v>
      </c>
      <c r="G1526" s="469">
        <f t="shared" si="137"/>
        <v>2.3283064365386963E-9</v>
      </c>
      <c r="H1526" s="506">
        <f>+J1478*G1526+E1526</f>
        <v>5.0057802981402984E-9</v>
      </c>
      <c r="I1526" s="512">
        <f>+J1479*G1526+E1526</f>
        <v>5.0057802981402984E-9</v>
      </c>
      <c r="J1526" s="509">
        <f t="shared" si="138"/>
        <v>0</v>
      </c>
      <c r="K1526" s="509"/>
      <c r="L1526" s="513"/>
      <c r="M1526" s="509">
        <f t="shared" si="139"/>
        <v>0</v>
      </c>
      <c r="N1526" s="513"/>
      <c r="O1526" s="509">
        <f t="shared" si="140"/>
        <v>0</v>
      </c>
      <c r="P1526" s="509">
        <f t="shared" si="141"/>
        <v>0</v>
      </c>
      <c r="Q1526" s="471"/>
    </row>
    <row r="1527" spans="3:17">
      <c r="C1527" s="505">
        <f>IF(D1477="","-",+C1526+1)</f>
        <v>2059</v>
      </c>
      <c r="D1527" s="469">
        <f t="shared" si="142"/>
        <v>0</v>
      </c>
      <c r="E1527" s="511">
        <f t="shared" si="143"/>
        <v>0</v>
      </c>
      <c r="F1527" s="511">
        <f t="shared" si="136"/>
        <v>0</v>
      </c>
      <c r="G1527" s="469">
        <f t="shared" si="137"/>
        <v>0</v>
      </c>
      <c r="H1527" s="506">
        <f>+J1478*G1527+E1527</f>
        <v>0</v>
      </c>
      <c r="I1527" s="512">
        <f>+J1479*G1527+E1527</f>
        <v>0</v>
      </c>
      <c r="J1527" s="509">
        <f t="shared" si="138"/>
        <v>0</v>
      </c>
      <c r="K1527" s="509"/>
      <c r="L1527" s="513"/>
      <c r="M1527" s="509">
        <f t="shared" si="139"/>
        <v>0</v>
      </c>
      <c r="N1527" s="513"/>
      <c r="O1527" s="509">
        <f t="shared" si="140"/>
        <v>0</v>
      </c>
      <c r="P1527" s="509">
        <f t="shared" si="141"/>
        <v>0</v>
      </c>
      <c r="Q1527" s="471"/>
    </row>
    <row r="1528" spans="3:17">
      <c r="C1528" s="505">
        <f>IF(D1477="","-",+C1527+1)</f>
        <v>2060</v>
      </c>
      <c r="D1528" s="469">
        <f t="shared" si="142"/>
        <v>0</v>
      </c>
      <c r="E1528" s="511">
        <f t="shared" si="143"/>
        <v>0</v>
      </c>
      <c r="F1528" s="511">
        <f t="shared" si="136"/>
        <v>0</v>
      </c>
      <c r="G1528" s="469">
        <f t="shared" si="137"/>
        <v>0</v>
      </c>
      <c r="H1528" s="506">
        <f>+J1478*G1528+E1528</f>
        <v>0</v>
      </c>
      <c r="I1528" s="512">
        <f>+J1479*G1528+E1528</f>
        <v>0</v>
      </c>
      <c r="J1528" s="509">
        <f t="shared" si="138"/>
        <v>0</v>
      </c>
      <c r="K1528" s="509"/>
      <c r="L1528" s="513"/>
      <c r="M1528" s="509">
        <f t="shared" si="139"/>
        <v>0</v>
      </c>
      <c r="N1528" s="513"/>
      <c r="O1528" s="509">
        <f t="shared" si="140"/>
        <v>0</v>
      </c>
      <c r="P1528" s="509">
        <f t="shared" si="141"/>
        <v>0</v>
      </c>
      <c r="Q1528" s="471"/>
    </row>
    <row r="1529" spans="3:17">
      <c r="C1529" s="505">
        <f>IF(D1477="","-",+C1528+1)</f>
        <v>2061</v>
      </c>
      <c r="D1529" s="469">
        <f t="shared" si="142"/>
        <v>0</v>
      </c>
      <c r="E1529" s="511">
        <f t="shared" si="143"/>
        <v>0</v>
      </c>
      <c r="F1529" s="511">
        <f t="shared" si="136"/>
        <v>0</v>
      </c>
      <c r="G1529" s="469">
        <f t="shared" si="137"/>
        <v>0</v>
      </c>
      <c r="H1529" s="506">
        <f>+J1478*G1529+E1529</f>
        <v>0</v>
      </c>
      <c r="I1529" s="512">
        <f>+J1479*G1529+E1529</f>
        <v>0</v>
      </c>
      <c r="J1529" s="509">
        <f t="shared" si="138"/>
        <v>0</v>
      </c>
      <c r="K1529" s="509"/>
      <c r="L1529" s="513"/>
      <c r="M1529" s="509">
        <f t="shared" si="139"/>
        <v>0</v>
      </c>
      <c r="N1529" s="513"/>
      <c r="O1529" s="509">
        <f t="shared" si="140"/>
        <v>0</v>
      </c>
      <c r="P1529" s="509">
        <f t="shared" si="141"/>
        <v>0</v>
      </c>
      <c r="Q1529" s="471"/>
    </row>
    <row r="1530" spans="3:17">
      <c r="C1530" s="505">
        <f>IF(D1477="","-",+C1529+1)</f>
        <v>2062</v>
      </c>
      <c r="D1530" s="469">
        <f t="shared" si="142"/>
        <v>0</v>
      </c>
      <c r="E1530" s="511">
        <f t="shared" si="143"/>
        <v>0</v>
      </c>
      <c r="F1530" s="511">
        <f t="shared" si="136"/>
        <v>0</v>
      </c>
      <c r="G1530" s="469">
        <f t="shared" si="137"/>
        <v>0</v>
      </c>
      <c r="H1530" s="506">
        <f>+J1478*G1530+E1530</f>
        <v>0</v>
      </c>
      <c r="I1530" s="512">
        <f>+J1479*G1530+E1530</f>
        <v>0</v>
      </c>
      <c r="J1530" s="509">
        <f t="shared" si="138"/>
        <v>0</v>
      </c>
      <c r="K1530" s="509"/>
      <c r="L1530" s="513"/>
      <c r="M1530" s="509">
        <f t="shared" si="139"/>
        <v>0</v>
      </c>
      <c r="N1530" s="513"/>
      <c r="O1530" s="509">
        <f t="shared" si="140"/>
        <v>0</v>
      </c>
      <c r="P1530" s="509">
        <f t="shared" si="141"/>
        <v>0</v>
      </c>
      <c r="Q1530" s="471"/>
    </row>
    <row r="1531" spans="3:17">
      <c r="C1531" s="505">
        <f>IF(D1477="","-",+C1530+1)</f>
        <v>2063</v>
      </c>
      <c r="D1531" s="469">
        <f t="shared" si="142"/>
        <v>0</v>
      </c>
      <c r="E1531" s="511">
        <f t="shared" si="143"/>
        <v>0</v>
      </c>
      <c r="F1531" s="511">
        <f t="shared" si="136"/>
        <v>0</v>
      </c>
      <c r="G1531" s="469">
        <f t="shared" si="137"/>
        <v>0</v>
      </c>
      <c r="H1531" s="506">
        <f>+J1478*G1531+E1531</f>
        <v>0</v>
      </c>
      <c r="I1531" s="512">
        <f>+J1479*G1531+E1531</f>
        <v>0</v>
      </c>
      <c r="J1531" s="509">
        <f t="shared" si="138"/>
        <v>0</v>
      </c>
      <c r="K1531" s="509"/>
      <c r="L1531" s="513"/>
      <c r="M1531" s="509">
        <f t="shared" si="139"/>
        <v>0</v>
      </c>
      <c r="N1531" s="513"/>
      <c r="O1531" s="509">
        <f t="shared" si="140"/>
        <v>0</v>
      </c>
      <c r="P1531" s="509">
        <f t="shared" si="141"/>
        <v>0</v>
      </c>
      <c r="Q1531" s="471"/>
    </row>
    <row r="1532" spans="3:17">
      <c r="C1532" s="505">
        <f>IF(D1477="","-",+C1531+1)</f>
        <v>2064</v>
      </c>
      <c r="D1532" s="469">
        <f t="shared" si="142"/>
        <v>0</v>
      </c>
      <c r="E1532" s="511">
        <f t="shared" si="143"/>
        <v>0</v>
      </c>
      <c r="F1532" s="511">
        <f t="shared" si="136"/>
        <v>0</v>
      </c>
      <c r="G1532" s="469">
        <f t="shared" si="137"/>
        <v>0</v>
      </c>
      <c r="H1532" s="506">
        <f>+J1478*G1532+E1532</f>
        <v>0</v>
      </c>
      <c r="I1532" s="512">
        <f>+J1479*G1532+E1532</f>
        <v>0</v>
      </c>
      <c r="J1532" s="509">
        <f t="shared" si="138"/>
        <v>0</v>
      </c>
      <c r="K1532" s="509"/>
      <c r="L1532" s="513"/>
      <c r="M1532" s="509">
        <f t="shared" si="139"/>
        <v>0</v>
      </c>
      <c r="N1532" s="513"/>
      <c r="O1532" s="509">
        <f t="shared" si="140"/>
        <v>0</v>
      </c>
      <c r="P1532" s="509">
        <f t="shared" si="141"/>
        <v>0</v>
      </c>
      <c r="Q1532" s="471"/>
    </row>
    <row r="1533" spans="3:17">
      <c r="C1533" s="505">
        <f>IF(D1477="","-",+C1532+1)</f>
        <v>2065</v>
      </c>
      <c r="D1533" s="469">
        <f t="shared" si="142"/>
        <v>0</v>
      </c>
      <c r="E1533" s="511">
        <f t="shared" si="143"/>
        <v>0</v>
      </c>
      <c r="F1533" s="511">
        <f t="shared" si="136"/>
        <v>0</v>
      </c>
      <c r="G1533" s="469">
        <f t="shared" si="137"/>
        <v>0</v>
      </c>
      <c r="H1533" s="506">
        <f>+J1478*G1533+E1533</f>
        <v>0</v>
      </c>
      <c r="I1533" s="512">
        <f>+J1479*G1533+E1533</f>
        <v>0</v>
      </c>
      <c r="J1533" s="509">
        <f t="shared" si="138"/>
        <v>0</v>
      </c>
      <c r="K1533" s="509"/>
      <c r="L1533" s="513"/>
      <c r="M1533" s="509">
        <f t="shared" si="139"/>
        <v>0</v>
      </c>
      <c r="N1533" s="513"/>
      <c r="O1533" s="509">
        <f t="shared" si="140"/>
        <v>0</v>
      </c>
      <c r="P1533" s="509">
        <f t="shared" si="141"/>
        <v>0</v>
      </c>
      <c r="Q1533" s="471"/>
    </row>
    <row r="1534" spans="3:17">
      <c r="C1534" s="505">
        <f>IF(D1477="","-",+C1533+1)</f>
        <v>2066</v>
      </c>
      <c r="D1534" s="469">
        <f t="shared" si="142"/>
        <v>0</v>
      </c>
      <c r="E1534" s="511">
        <f t="shared" si="143"/>
        <v>0</v>
      </c>
      <c r="F1534" s="511">
        <f t="shared" si="136"/>
        <v>0</v>
      </c>
      <c r="G1534" s="469">
        <f t="shared" si="137"/>
        <v>0</v>
      </c>
      <c r="H1534" s="506">
        <f>+J1478*G1534+E1534</f>
        <v>0</v>
      </c>
      <c r="I1534" s="512">
        <f>+J1479*G1534+E1534</f>
        <v>0</v>
      </c>
      <c r="J1534" s="509">
        <f t="shared" si="138"/>
        <v>0</v>
      </c>
      <c r="K1534" s="509"/>
      <c r="L1534" s="513"/>
      <c r="M1534" s="509">
        <f t="shared" si="139"/>
        <v>0</v>
      </c>
      <c r="N1534" s="513"/>
      <c r="O1534" s="509">
        <f t="shared" si="140"/>
        <v>0</v>
      </c>
      <c r="P1534" s="509">
        <f t="shared" si="141"/>
        <v>0</v>
      </c>
      <c r="Q1534" s="471"/>
    </row>
    <row r="1535" spans="3:17">
      <c r="C1535" s="505">
        <f>IF(D1477="","-",+C1534+1)</f>
        <v>2067</v>
      </c>
      <c r="D1535" s="469">
        <f t="shared" si="142"/>
        <v>0</v>
      </c>
      <c r="E1535" s="511">
        <f t="shared" si="143"/>
        <v>0</v>
      </c>
      <c r="F1535" s="511">
        <f t="shared" si="136"/>
        <v>0</v>
      </c>
      <c r="G1535" s="469">
        <f t="shared" si="137"/>
        <v>0</v>
      </c>
      <c r="H1535" s="506">
        <f>+J1478*G1535+E1535</f>
        <v>0</v>
      </c>
      <c r="I1535" s="512">
        <f>+J1479*G1535+E1535</f>
        <v>0</v>
      </c>
      <c r="J1535" s="509">
        <f t="shared" si="138"/>
        <v>0</v>
      </c>
      <c r="K1535" s="509"/>
      <c r="L1535" s="513"/>
      <c r="M1535" s="509">
        <f t="shared" si="139"/>
        <v>0</v>
      </c>
      <c r="N1535" s="513"/>
      <c r="O1535" s="509">
        <f t="shared" si="140"/>
        <v>0</v>
      </c>
      <c r="P1535" s="509">
        <f t="shared" si="141"/>
        <v>0</v>
      </c>
      <c r="Q1535" s="471"/>
    </row>
    <row r="1536" spans="3:17">
      <c r="C1536" s="505">
        <f>IF(D1477="","-",+C1535+1)</f>
        <v>2068</v>
      </c>
      <c r="D1536" s="469">
        <f t="shared" si="142"/>
        <v>0</v>
      </c>
      <c r="E1536" s="511">
        <f t="shared" si="143"/>
        <v>0</v>
      </c>
      <c r="F1536" s="511">
        <f t="shared" si="136"/>
        <v>0</v>
      </c>
      <c r="G1536" s="469">
        <f t="shared" si="137"/>
        <v>0</v>
      </c>
      <c r="H1536" s="506">
        <f>+J1478*G1536+E1536</f>
        <v>0</v>
      </c>
      <c r="I1536" s="512">
        <f>+J1479*G1536+E1536</f>
        <v>0</v>
      </c>
      <c r="J1536" s="509">
        <f t="shared" si="138"/>
        <v>0</v>
      </c>
      <c r="K1536" s="509"/>
      <c r="L1536" s="513"/>
      <c r="M1536" s="509">
        <f t="shared" si="139"/>
        <v>0</v>
      </c>
      <c r="N1536" s="513"/>
      <c r="O1536" s="509">
        <f t="shared" si="140"/>
        <v>0</v>
      </c>
      <c r="P1536" s="509">
        <f t="shared" si="141"/>
        <v>0</v>
      </c>
      <c r="Q1536" s="471"/>
    </row>
    <row r="1537" spans="1:17">
      <c r="C1537" s="505">
        <f>IF(D1477="","-",+C1536+1)</f>
        <v>2069</v>
      </c>
      <c r="D1537" s="469">
        <f t="shared" si="142"/>
        <v>0</v>
      </c>
      <c r="E1537" s="511">
        <f t="shared" si="143"/>
        <v>0</v>
      </c>
      <c r="F1537" s="511">
        <f t="shared" si="136"/>
        <v>0</v>
      </c>
      <c r="G1537" s="469">
        <f t="shared" si="137"/>
        <v>0</v>
      </c>
      <c r="H1537" s="506">
        <f>+J1478*G1537+E1537</f>
        <v>0</v>
      </c>
      <c r="I1537" s="512">
        <f>+J1479*G1537+E1537</f>
        <v>0</v>
      </c>
      <c r="J1537" s="509">
        <f t="shared" si="138"/>
        <v>0</v>
      </c>
      <c r="K1537" s="509"/>
      <c r="L1537" s="513"/>
      <c r="M1537" s="509">
        <f t="shared" si="139"/>
        <v>0</v>
      </c>
      <c r="N1537" s="513"/>
      <c r="O1537" s="509">
        <f t="shared" si="140"/>
        <v>0</v>
      </c>
      <c r="P1537" s="509">
        <f t="shared" si="141"/>
        <v>0</v>
      </c>
      <c r="Q1537" s="471"/>
    </row>
    <row r="1538" spans="1:17">
      <c r="C1538" s="505">
        <f>IF(D1477="","-",+C1537+1)</f>
        <v>2070</v>
      </c>
      <c r="D1538" s="469">
        <f t="shared" si="142"/>
        <v>0</v>
      </c>
      <c r="E1538" s="511">
        <f t="shared" si="143"/>
        <v>0</v>
      </c>
      <c r="F1538" s="511">
        <f t="shared" si="136"/>
        <v>0</v>
      </c>
      <c r="G1538" s="469">
        <f t="shared" si="137"/>
        <v>0</v>
      </c>
      <c r="H1538" s="506">
        <f>+J1478*G1538+E1538</f>
        <v>0</v>
      </c>
      <c r="I1538" s="512">
        <f>+J1479*G1538+E1538</f>
        <v>0</v>
      </c>
      <c r="J1538" s="509">
        <f t="shared" si="138"/>
        <v>0</v>
      </c>
      <c r="K1538" s="509"/>
      <c r="L1538" s="513"/>
      <c r="M1538" s="509">
        <f t="shared" si="139"/>
        <v>0</v>
      </c>
      <c r="N1538" s="513"/>
      <c r="O1538" s="509">
        <f t="shared" si="140"/>
        <v>0</v>
      </c>
      <c r="P1538" s="509">
        <f t="shared" si="141"/>
        <v>0</v>
      </c>
      <c r="Q1538" s="471"/>
    </row>
    <row r="1539" spans="1:17">
      <c r="C1539" s="505">
        <f>IF(D1477="","-",+C1538+1)</f>
        <v>2071</v>
      </c>
      <c r="D1539" s="469">
        <f t="shared" si="142"/>
        <v>0</v>
      </c>
      <c r="E1539" s="511">
        <f t="shared" si="143"/>
        <v>0</v>
      </c>
      <c r="F1539" s="511">
        <f t="shared" si="136"/>
        <v>0</v>
      </c>
      <c r="G1539" s="469">
        <f t="shared" si="137"/>
        <v>0</v>
      </c>
      <c r="H1539" s="506">
        <f>+J1478*G1539+E1539</f>
        <v>0</v>
      </c>
      <c r="I1539" s="512">
        <f>+J1479*G1539+E1539</f>
        <v>0</v>
      </c>
      <c r="J1539" s="509">
        <f t="shared" si="138"/>
        <v>0</v>
      </c>
      <c r="K1539" s="509"/>
      <c r="L1539" s="513"/>
      <c r="M1539" s="509">
        <f t="shared" si="139"/>
        <v>0</v>
      </c>
      <c r="N1539" s="513"/>
      <c r="O1539" s="509">
        <f t="shared" si="140"/>
        <v>0</v>
      </c>
      <c r="P1539" s="509">
        <f t="shared" si="141"/>
        <v>0</v>
      </c>
      <c r="Q1539" s="471"/>
    </row>
    <row r="1540" spans="1:17">
      <c r="C1540" s="505">
        <f>IF(D1477="","-",+C1539+1)</f>
        <v>2072</v>
      </c>
      <c r="D1540" s="469">
        <f t="shared" si="142"/>
        <v>0</v>
      </c>
      <c r="E1540" s="511">
        <f t="shared" si="143"/>
        <v>0</v>
      </c>
      <c r="F1540" s="511">
        <f t="shared" si="136"/>
        <v>0</v>
      </c>
      <c r="G1540" s="469">
        <f t="shared" si="137"/>
        <v>0</v>
      </c>
      <c r="H1540" s="506">
        <f>+J1478*G1540+E1540</f>
        <v>0</v>
      </c>
      <c r="I1540" s="512">
        <f>+J1479*G1540+E1540</f>
        <v>0</v>
      </c>
      <c r="J1540" s="509">
        <f t="shared" si="138"/>
        <v>0</v>
      </c>
      <c r="K1540" s="509"/>
      <c r="L1540" s="513"/>
      <c r="M1540" s="509">
        <f t="shared" si="139"/>
        <v>0</v>
      </c>
      <c r="N1540" s="513"/>
      <c r="O1540" s="509">
        <f t="shared" si="140"/>
        <v>0</v>
      </c>
      <c r="P1540" s="509">
        <f t="shared" si="141"/>
        <v>0</v>
      </c>
      <c r="Q1540" s="471"/>
    </row>
    <row r="1541" spans="1:17">
      <c r="C1541" s="505">
        <f>IF(D1477="","-",+C1540+1)</f>
        <v>2073</v>
      </c>
      <c r="D1541" s="469">
        <f t="shared" si="142"/>
        <v>0</v>
      </c>
      <c r="E1541" s="511">
        <f t="shared" si="143"/>
        <v>0</v>
      </c>
      <c r="F1541" s="511">
        <f t="shared" si="136"/>
        <v>0</v>
      </c>
      <c r="G1541" s="469">
        <f t="shared" si="137"/>
        <v>0</v>
      </c>
      <c r="H1541" s="506">
        <f>+J1478*G1541+E1541</f>
        <v>0</v>
      </c>
      <c r="I1541" s="512">
        <f>+J1479*G1541+E1541</f>
        <v>0</v>
      </c>
      <c r="J1541" s="509">
        <f t="shared" si="138"/>
        <v>0</v>
      </c>
      <c r="K1541" s="509"/>
      <c r="L1541" s="513"/>
      <c r="M1541" s="509">
        <f t="shared" si="139"/>
        <v>0</v>
      </c>
      <c r="N1541" s="513"/>
      <c r="O1541" s="509">
        <f t="shared" si="140"/>
        <v>0</v>
      </c>
      <c r="P1541" s="509">
        <f t="shared" si="141"/>
        <v>0</v>
      </c>
      <c r="Q1541" s="471"/>
    </row>
    <row r="1542" spans="1:17" ht="13.5" thickBot="1">
      <c r="C1542" s="515">
        <f>IF(D1477="","-",+C1541+1)</f>
        <v>2074</v>
      </c>
      <c r="D1542" s="516">
        <f t="shared" si="142"/>
        <v>0</v>
      </c>
      <c r="E1542" s="980">
        <f t="shared" si="143"/>
        <v>0</v>
      </c>
      <c r="F1542" s="517">
        <f t="shared" si="136"/>
        <v>0</v>
      </c>
      <c r="G1542" s="516">
        <f t="shared" si="137"/>
        <v>0</v>
      </c>
      <c r="H1542" s="518">
        <f>+J1478*G1542+E1542</f>
        <v>0</v>
      </c>
      <c r="I1542" s="518">
        <f>+J1479*G1542+E1542</f>
        <v>0</v>
      </c>
      <c r="J1542" s="519">
        <f t="shared" si="138"/>
        <v>0</v>
      </c>
      <c r="K1542" s="509"/>
      <c r="L1542" s="520"/>
      <c r="M1542" s="519">
        <f t="shared" si="139"/>
        <v>0</v>
      </c>
      <c r="N1542" s="520"/>
      <c r="O1542" s="519">
        <f t="shared" si="140"/>
        <v>0</v>
      </c>
      <c r="P1542" s="519">
        <f t="shared" si="141"/>
        <v>0</v>
      </c>
      <c r="Q1542" s="471"/>
    </row>
    <row r="1543" spans="1:17">
      <c r="C1543" s="469" t="s">
        <v>288</v>
      </c>
      <c r="D1543" s="467"/>
      <c r="E1543" s="467">
        <f>SUM(E1483:E1542)</f>
        <v>6852887.7200000007</v>
      </c>
      <c r="F1543" s="467"/>
      <c r="G1543" s="467"/>
      <c r="H1543" s="467">
        <f>SUM(H1483:H1542)</f>
        <v>29462331.512066111</v>
      </c>
      <c r="I1543" s="467">
        <f>SUM(I1483:I1542)</f>
        <v>29462331.512066111</v>
      </c>
      <c r="J1543" s="467">
        <f>SUM(J1483:J1542)</f>
        <v>0</v>
      </c>
      <c r="K1543" s="467"/>
      <c r="L1543" s="467"/>
      <c r="M1543" s="467"/>
      <c r="N1543" s="467"/>
      <c r="O1543" s="467"/>
      <c r="Q1543" s="467"/>
    </row>
    <row r="1544" spans="1:17">
      <c r="D1544" s="79"/>
      <c r="E1544" s="4"/>
      <c r="F1544" s="4"/>
      <c r="G1544" s="4"/>
      <c r="H1544" s="4"/>
      <c r="I1544" s="452"/>
      <c r="J1544" s="452"/>
      <c r="K1544" s="467"/>
      <c r="L1544" s="452"/>
      <c r="M1544" s="452"/>
      <c r="N1544" s="452"/>
      <c r="O1544" s="452"/>
      <c r="Q1544" s="467"/>
    </row>
    <row r="1545" spans="1:17">
      <c r="C1545" s="4" t="s">
        <v>595</v>
      </c>
      <c r="D1545" s="79"/>
      <c r="E1545" s="4"/>
      <c r="F1545" s="4"/>
      <c r="G1545" s="4"/>
      <c r="H1545" s="4"/>
      <c r="I1545" s="452"/>
      <c r="J1545" s="452"/>
      <c r="K1545" s="467"/>
      <c r="L1545" s="452"/>
      <c r="M1545" s="452"/>
      <c r="N1545" s="452"/>
      <c r="O1545" s="452"/>
      <c r="Q1545" s="467"/>
    </row>
    <row r="1546" spans="1:17">
      <c r="D1546" s="79"/>
      <c r="E1546" s="4"/>
      <c r="F1546" s="4"/>
      <c r="G1546" s="4"/>
      <c r="H1546" s="4"/>
      <c r="I1546" s="452"/>
      <c r="J1546" s="452"/>
      <c r="K1546" s="467"/>
      <c r="L1546" s="452"/>
      <c r="M1546" s="452"/>
      <c r="N1546" s="452"/>
      <c r="O1546" s="452"/>
      <c r="Q1546" s="467"/>
    </row>
    <row r="1547" spans="1:17">
      <c r="C1547" s="4" t="s">
        <v>596</v>
      </c>
      <c r="D1547" s="469"/>
      <c r="E1547" s="469"/>
      <c r="F1547" s="469"/>
      <c r="G1547" s="469"/>
      <c r="H1547" s="467"/>
      <c r="I1547" s="467"/>
      <c r="J1547" s="471"/>
      <c r="K1547" s="471"/>
      <c r="L1547" s="471"/>
      <c r="M1547" s="471"/>
      <c r="N1547" s="471"/>
      <c r="O1547" s="471"/>
      <c r="Q1547" s="471"/>
    </row>
    <row r="1548" spans="1:17">
      <c r="C1548" s="4" t="s">
        <v>476</v>
      </c>
      <c r="D1548" s="469"/>
      <c r="E1548" s="469"/>
      <c r="F1548" s="469"/>
      <c r="G1548" s="469"/>
      <c r="H1548" s="467"/>
      <c r="I1548" s="467"/>
      <c r="J1548" s="471"/>
      <c r="K1548" s="471"/>
      <c r="L1548" s="471"/>
      <c r="M1548" s="471"/>
      <c r="N1548" s="471"/>
      <c r="O1548" s="471"/>
      <c r="Q1548" s="471"/>
    </row>
    <row r="1549" spans="1:17">
      <c r="C1549" s="4" t="s">
        <v>289</v>
      </c>
      <c r="D1549" s="469"/>
      <c r="E1549" s="469"/>
      <c r="F1549" s="469"/>
      <c r="G1549" s="469"/>
      <c r="H1549" s="467"/>
      <c r="I1549" s="467"/>
      <c r="J1549" s="471"/>
      <c r="K1549" s="471"/>
      <c r="L1549" s="471"/>
      <c r="M1549" s="471"/>
      <c r="N1549" s="471"/>
      <c r="O1549" s="471"/>
      <c r="Q1549" s="471"/>
    </row>
    <row r="1550" spans="1:17" ht="20.25">
      <c r="A1550" s="411" t="s">
        <v>762</v>
      </c>
      <c r="B1550" s="4"/>
      <c r="C1550" s="4"/>
      <c r="D1550" s="79"/>
      <c r="E1550" s="4"/>
      <c r="F1550" s="81"/>
      <c r="G1550" s="81"/>
      <c r="H1550" s="4"/>
      <c r="I1550" s="452"/>
      <c r="L1550" s="11"/>
      <c r="M1550" s="11"/>
      <c r="N1550" s="11"/>
      <c r="O1550" s="11" t="str">
        <f>"Page "&amp;SUM(Q$3:Q1550)&amp;" of "</f>
        <v xml:space="preserve">Page 19 of </v>
      </c>
      <c r="P1550" s="412">
        <f>COUNT(Q$8:Q$58212)</f>
        <v>23</v>
      </c>
      <c r="Q1550" s="539">
        <v>1</v>
      </c>
    </row>
    <row r="1551" spans="1:17">
      <c r="B1551" s="4"/>
      <c r="C1551" s="4"/>
      <c r="D1551" s="79"/>
      <c r="E1551" s="4"/>
      <c r="F1551" s="4"/>
      <c r="G1551" s="4"/>
      <c r="H1551" s="4"/>
      <c r="I1551" s="452"/>
      <c r="J1551" s="4"/>
      <c r="K1551" s="4"/>
    </row>
    <row r="1552" spans="1:17" ht="18">
      <c r="B1552" s="413" t="s">
        <v>174</v>
      </c>
      <c r="C1552" s="472" t="s">
        <v>290</v>
      </c>
      <c r="D1552" s="79"/>
      <c r="E1552" s="4"/>
      <c r="F1552" s="4"/>
      <c r="G1552" s="4"/>
      <c r="H1552" s="4"/>
      <c r="I1552" s="452"/>
      <c r="J1552" s="452"/>
      <c r="K1552" s="467"/>
      <c r="L1552" s="452"/>
      <c r="M1552" s="452"/>
      <c r="N1552" s="452"/>
      <c r="O1552" s="452"/>
      <c r="Q1552" s="467"/>
    </row>
    <row r="1553" spans="1:17" ht="18.75">
      <c r="B1553" s="413"/>
      <c r="C1553" s="13"/>
      <c r="D1553" s="79"/>
      <c r="E1553" s="4"/>
      <c r="F1553" s="4"/>
      <c r="G1553" s="4"/>
      <c r="H1553" s="4"/>
      <c r="I1553" s="452"/>
      <c r="J1553" s="452"/>
      <c r="K1553" s="467"/>
      <c r="L1553" s="452"/>
      <c r="M1553" s="452"/>
      <c r="N1553" s="452"/>
      <c r="O1553" s="452"/>
      <c r="Q1553" s="467"/>
    </row>
    <row r="1554" spans="1:17" ht="18.75">
      <c r="B1554" s="413"/>
      <c r="C1554" s="13" t="s">
        <v>291</v>
      </c>
      <c r="D1554" s="79"/>
      <c r="E1554" s="4"/>
      <c r="F1554" s="4"/>
      <c r="G1554" s="4"/>
      <c r="H1554" s="4"/>
      <c r="I1554" s="452"/>
      <c r="J1554" s="452"/>
      <c r="K1554" s="467"/>
      <c r="L1554" s="452"/>
      <c r="M1554" s="452"/>
      <c r="N1554" s="452"/>
      <c r="O1554" s="452"/>
      <c r="Q1554" s="467"/>
    </row>
    <row r="1555" spans="1:17" ht="15.75" thickBot="1">
      <c r="C1555" s="247"/>
      <c r="D1555" s="79"/>
      <c r="E1555" s="4"/>
      <c r="F1555" s="4"/>
      <c r="G1555" s="4"/>
      <c r="H1555" s="4"/>
      <c r="I1555" s="452"/>
      <c r="J1555" s="452"/>
      <c r="K1555" s="467"/>
      <c r="L1555" s="452"/>
      <c r="M1555" s="452"/>
      <c r="N1555" s="452"/>
      <c r="O1555" s="452"/>
      <c r="Q1555" s="467"/>
    </row>
    <row r="1556" spans="1:17" ht="15.75">
      <c r="C1556" s="414" t="s">
        <v>292</v>
      </c>
      <c r="D1556" s="79"/>
      <c r="E1556" s="4"/>
      <c r="F1556" s="4"/>
      <c r="G1556" s="4"/>
      <c r="H1556" s="635"/>
      <c r="I1556" s="4" t="s">
        <v>271</v>
      </c>
      <c r="J1556" s="4"/>
      <c r="K1556" s="4"/>
      <c r="L1556" s="540">
        <f>+J1562</f>
        <v>2025</v>
      </c>
      <c r="M1556" s="524" t="s">
        <v>254</v>
      </c>
      <c r="N1556" s="524" t="s">
        <v>255</v>
      </c>
      <c r="O1556" s="525" t="s">
        <v>256</v>
      </c>
    </row>
    <row r="1557" spans="1:17" ht="15.75">
      <c r="C1557" s="414"/>
      <c r="D1557" s="79"/>
      <c r="E1557" s="4"/>
      <c r="F1557" s="4"/>
      <c r="H1557" s="4"/>
      <c r="I1557" s="476"/>
      <c r="J1557" s="476"/>
      <c r="K1557" s="477"/>
      <c r="L1557" s="541" t="s">
        <v>455</v>
      </c>
      <c r="M1557" s="542">
        <f>VLOOKUP(J1562,C1569:P1628,10)</f>
        <v>816868.48150391574</v>
      </c>
      <c r="N1557" s="542">
        <f>VLOOKUP(J1562,C1569:P1628,12)</f>
        <v>816868.48150391574</v>
      </c>
      <c r="O1557" s="543">
        <f>+N1557-M1557</f>
        <v>0</v>
      </c>
      <c r="Q1557" s="477"/>
    </row>
    <row r="1558" spans="1:17">
      <c r="C1558" s="479" t="s">
        <v>293</v>
      </c>
      <c r="D1558" s="1276" t="s">
        <v>941</v>
      </c>
      <c r="E1558" s="1276"/>
      <c r="F1558" s="1276"/>
      <c r="G1558" s="1276" t="s">
        <v>940</v>
      </c>
      <c r="H1558" s="1276"/>
      <c r="I1558" s="1276"/>
      <c r="J1558" s="452"/>
      <c r="K1558" s="467"/>
      <c r="L1558" s="541" t="s">
        <v>456</v>
      </c>
      <c r="M1558" s="544">
        <f>VLOOKUP(J1562,C1569:P1628,6)</f>
        <v>839640.47849143366</v>
      </c>
      <c r="N1558" s="544">
        <f>VLOOKUP(J1562,C1569:P1628,7)</f>
        <v>839640.47849143366</v>
      </c>
      <c r="O1558" s="545">
        <f>+N1558-M1558</f>
        <v>0</v>
      </c>
      <c r="Q1558" s="467"/>
    </row>
    <row r="1559" spans="1:17" ht="13.5" thickBot="1">
      <c r="C1559" s="481"/>
      <c r="D1559" s="4" t="s">
        <v>114</v>
      </c>
      <c r="E1559" s="483"/>
      <c r="F1559" s="483"/>
      <c r="G1559" s="483"/>
      <c r="H1559" s="483"/>
      <c r="I1559" s="483"/>
      <c r="J1559" s="452"/>
      <c r="K1559" s="467"/>
      <c r="L1559" s="492" t="s">
        <v>457</v>
      </c>
      <c r="M1559" s="546">
        <f>+M1558-M1557</f>
        <v>22771.996987517923</v>
      </c>
      <c r="N1559" s="546">
        <f>+N1558-N1557</f>
        <v>22771.996987517923</v>
      </c>
      <c r="O1559" s="547">
        <f>+O1558-O1557</f>
        <v>0</v>
      </c>
      <c r="Q1559" s="467"/>
    </row>
    <row r="1560" spans="1:17" ht="13.5" thickBot="1">
      <c r="C1560" s="481"/>
      <c r="D1560" s="4"/>
      <c r="E1560" s="483"/>
      <c r="F1560" s="483"/>
      <c r="G1560" s="483"/>
      <c r="H1560" s="483"/>
      <c r="I1560" s="483"/>
      <c r="J1560" s="483"/>
      <c r="K1560" s="483"/>
      <c r="L1560" s="483"/>
      <c r="M1560" s="483"/>
      <c r="N1560" s="483"/>
      <c r="O1560" s="483"/>
      <c r="Q1560" s="483"/>
    </row>
    <row r="1561" spans="1:17" ht="13.5" thickBot="1">
      <c r="C1561" s="484" t="s">
        <v>294</v>
      </c>
      <c r="D1561" s="485"/>
      <c r="E1561" s="485"/>
      <c r="F1561" s="485"/>
      <c r="G1561" s="485"/>
      <c r="H1561" s="485"/>
      <c r="I1561" s="485"/>
      <c r="J1561" s="485"/>
      <c r="Q1561"/>
    </row>
    <row r="1562" spans="1:17" ht="15">
      <c r="A1562" s="977"/>
      <c r="C1562" s="487" t="s">
        <v>272</v>
      </c>
      <c r="D1562" s="926">
        <v>6094421.0100000007</v>
      </c>
      <c r="E1562" s="4" t="s">
        <v>273</v>
      </c>
      <c r="H1562" s="79"/>
      <c r="I1562" s="79"/>
      <c r="J1562" s="488">
        <f>$J$95</f>
        <v>2025</v>
      </c>
      <c r="K1562" s="135"/>
      <c r="L1562" s="1287" t="s">
        <v>274</v>
      </c>
      <c r="M1562" s="1287"/>
      <c r="N1562" s="1287"/>
      <c r="O1562" s="1287"/>
      <c r="Q1562" s="135"/>
    </row>
    <row r="1563" spans="1:17">
      <c r="A1563" s="977"/>
      <c r="C1563" s="487" t="s">
        <v>275</v>
      </c>
      <c r="D1563" s="636">
        <v>2015</v>
      </c>
      <c r="E1563" s="487" t="s">
        <v>276</v>
      </c>
      <c r="F1563" s="79"/>
      <c r="G1563" s="79"/>
      <c r="I1563"/>
      <c r="J1563" s="638">
        <v>0</v>
      </c>
      <c r="K1563" s="489"/>
      <c r="L1563" s="467" t="s">
        <v>475</v>
      </c>
      <c r="Q1563" s="489"/>
    </row>
    <row r="1564" spans="1:17">
      <c r="A1564" s="977"/>
      <c r="C1564" s="487" t="s">
        <v>277</v>
      </c>
      <c r="D1564" s="926">
        <v>5</v>
      </c>
      <c r="E1564" s="487" t="s">
        <v>278</v>
      </c>
      <c r="F1564" s="79"/>
      <c r="G1564" s="79"/>
      <c r="I1564"/>
      <c r="J1564" s="490">
        <f>$F$70</f>
        <v>0.14996626714737105</v>
      </c>
      <c r="K1564" s="81"/>
      <c r="L1564" s="4" t="str">
        <f>"          INPUT TRUE-UP ARR (WITH &amp; WITHOUT INCENTIVES) FROM EACH PRIOR YEAR"</f>
        <v xml:space="preserve">          INPUT TRUE-UP ARR (WITH &amp; WITHOUT INCENTIVES) FROM EACH PRIOR YEAR</v>
      </c>
      <c r="Q1564" s="81"/>
    </row>
    <row r="1565" spans="1:17">
      <c r="A1565" s="977"/>
      <c r="C1565" s="487" t="s">
        <v>279</v>
      </c>
      <c r="D1565" s="491">
        <f>H79</f>
        <v>42</v>
      </c>
      <c r="E1565" s="487" t="s">
        <v>280</v>
      </c>
      <c r="F1565" s="79"/>
      <c r="G1565" s="79"/>
      <c r="I1565"/>
      <c r="J1565" s="490">
        <f>IF(H1556="",J1564,$F$69)</f>
        <v>0.14996626714737105</v>
      </c>
      <c r="K1565" s="81"/>
      <c r="L1565" s="4" t="s">
        <v>362</v>
      </c>
      <c r="M1565" s="81"/>
      <c r="N1565" s="81"/>
      <c r="O1565" s="81"/>
      <c r="Q1565" s="81"/>
    </row>
    <row r="1566" spans="1:17" ht="13.5" thickBot="1">
      <c r="A1566" s="977"/>
      <c r="C1566" s="487" t="s">
        <v>281</v>
      </c>
      <c r="D1566" s="637" t="s">
        <v>923</v>
      </c>
      <c r="E1566" s="492" t="s">
        <v>282</v>
      </c>
      <c r="F1566" s="493"/>
      <c r="G1566" s="493"/>
      <c r="H1566" s="494"/>
      <c r="I1566" s="494"/>
      <c r="J1566" s="480">
        <f>IF(D1562=0,0,D1562/D1565)</f>
        <v>145105.26214285716</v>
      </c>
      <c r="K1566" s="467"/>
      <c r="L1566" s="467" t="s">
        <v>363</v>
      </c>
      <c r="M1566" s="467"/>
      <c r="N1566" s="467"/>
      <c r="O1566" s="467"/>
      <c r="Q1566" s="467"/>
    </row>
    <row r="1567" spans="1:17" ht="38.25">
      <c r="A1567" s="12"/>
      <c r="B1567" s="12"/>
      <c r="C1567" s="495" t="s">
        <v>272</v>
      </c>
      <c r="D1567" s="496" t="s">
        <v>283</v>
      </c>
      <c r="E1567" s="497" t="s">
        <v>284</v>
      </c>
      <c r="F1567" s="496" t="s">
        <v>285</v>
      </c>
      <c r="G1567" s="496" t="s">
        <v>458</v>
      </c>
      <c r="H1567" s="497" t="s">
        <v>356</v>
      </c>
      <c r="I1567" s="498" t="s">
        <v>356</v>
      </c>
      <c r="J1567" s="495" t="s">
        <v>295</v>
      </c>
      <c r="K1567" s="499"/>
      <c r="L1567" s="497" t="s">
        <v>358</v>
      </c>
      <c r="M1567" s="497" t="s">
        <v>364</v>
      </c>
      <c r="N1567" s="497" t="s">
        <v>358</v>
      </c>
      <c r="O1567" s="497" t="s">
        <v>366</v>
      </c>
      <c r="P1567" s="497" t="s">
        <v>286</v>
      </c>
      <c r="Q1567" s="128"/>
    </row>
    <row r="1568" spans="1:17" ht="13.5" thickBot="1">
      <c r="C1568" s="500" t="s">
        <v>177</v>
      </c>
      <c r="D1568" s="501" t="s">
        <v>178</v>
      </c>
      <c r="E1568" s="500" t="s">
        <v>37</v>
      </c>
      <c r="F1568" s="501" t="s">
        <v>178</v>
      </c>
      <c r="G1568" s="501" t="s">
        <v>178</v>
      </c>
      <c r="H1568" s="502" t="s">
        <v>298</v>
      </c>
      <c r="I1568" s="503" t="s">
        <v>300</v>
      </c>
      <c r="J1568" s="500" t="s">
        <v>389</v>
      </c>
      <c r="K1568" s="504"/>
      <c r="L1568" s="502" t="s">
        <v>287</v>
      </c>
      <c r="M1568" s="502" t="s">
        <v>287</v>
      </c>
      <c r="N1568" s="502" t="s">
        <v>467</v>
      </c>
      <c r="O1568" s="502" t="s">
        <v>467</v>
      </c>
      <c r="P1568" s="502" t="s">
        <v>467</v>
      </c>
      <c r="Q1568" s="135"/>
    </row>
    <row r="1569" spans="3:17">
      <c r="C1569" s="505">
        <f>IF(D1563= "","-",D1563)</f>
        <v>2015</v>
      </c>
      <c r="D1569" s="469">
        <f>+D1562</f>
        <v>6094421.0100000007</v>
      </c>
      <c r="E1569" s="506">
        <f>+J1566/12*(12-D1564)</f>
        <v>84644.736250000016</v>
      </c>
      <c r="F1569" s="548">
        <f t="shared" ref="F1569:F1628" si="144">+D1569-E1569</f>
        <v>6009776.2737500006</v>
      </c>
      <c r="G1569" s="469">
        <f t="shared" ref="G1569:G1628" si="145">+(D1569+F1569)/2</f>
        <v>6052098.6418750007</v>
      </c>
      <c r="H1569" s="507">
        <f>+J1564*G1569+E1569</f>
        <v>992255.37797966786</v>
      </c>
      <c r="I1569" s="508">
        <f>+J1565*G1569+E1569</f>
        <v>992255.37797966786</v>
      </c>
      <c r="J1569" s="509">
        <f t="shared" ref="J1569:J1628" si="146">+I1569-H1569</f>
        <v>0</v>
      </c>
      <c r="K1569" s="509"/>
      <c r="L1569" s="513">
        <v>805154</v>
      </c>
      <c r="M1569" s="549">
        <f t="shared" ref="M1569:M1628" si="147">IF(L1569&lt;&gt;0,+H1569-L1569,0)</f>
        <v>187101.37797966786</v>
      </c>
      <c r="N1569" s="513">
        <v>805154</v>
      </c>
      <c r="O1569" s="549">
        <f t="shared" ref="O1569:O1628" si="148">IF(N1569&lt;&gt;0,+I1569-N1569,0)</f>
        <v>187101.37797966786</v>
      </c>
      <c r="P1569" s="549">
        <f t="shared" ref="P1569:P1628" si="149">+O1569-M1569</f>
        <v>0</v>
      </c>
      <c r="Q1569" s="471"/>
    </row>
    <row r="1570" spans="3:17">
      <c r="C1570" s="505">
        <f>IF(D1563="","-",+C1569+1)</f>
        <v>2016</v>
      </c>
      <c r="D1570" s="469">
        <f t="shared" ref="D1570:D1628" si="150">F1569</f>
        <v>6009776.2737500006</v>
      </c>
      <c r="E1570" s="511">
        <f>IF(D1570&gt;$J$1566,$J$1566,D1570)</f>
        <v>145105.26214285716</v>
      </c>
      <c r="F1570" s="511">
        <f t="shared" si="144"/>
        <v>5864671.0116071431</v>
      </c>
      <c r="G1570" s="469">
        <f t="shared" si="145"/>
        <v>5937223.6426785719</v>
      </c>
      <c r="H1570" s="506">
        <f>+J1564*G1570+E1570</f>
        <v>1035488.5290544793</v>
      </c>
      <c r="I1570" s="512">
        <f>+J1565*G1570+E1570</f>
        <v>1035488.5290544793</v>
      </c>
      <c r="J1570" s="509">
        <f t="shared" si="146"/>
        <v>0</v>
      </c>
      <c r="K1570" s="509"/>
      <c r="L1570" s="513">
        <v>1159062</v>
      </c>
      <c r="M1570" s="509">
        <f t="shared" si="147"/>
        <v>-123573.47094552068</v>
      </c>
      <c r="N1570" s="513">
        <v>1159062</v>
      </c>
      <c r="O1570" s="509">
        <f t="shared" si="148"/>
        <v>-123573.47094552068</v>
      </c>
      <c r="P1570" s="509">
        <f t="shared" si="149"/>
        <v>0</v>
      </c>
      <c r="Q1570" s="471"/>
    </row>
    <row r="1571" spans="3:17">
      <c r="C1571" s="505">
        <f>IF(D1563="","-",+C1570+1)</f>
        <v>2017</v>
      </c>
      <c r="D1571" s="469">
        <f t="shared" si="150"/>
        <v>5864671.0116071431</v>
      </c>
      <c r="E1571" s="511">
        <f t="shared" ref="E1571:E1628" si="151">IF(D1571&gt;$J$1566,$J$1566,D1571)</f>
        <v>145105.26214285716</v>
      </c>
      <c r="F1571" s="511">
        <f t="shared" si="144"/>
        <v>5719565.7494642856</v>
      </c>
      <c r="G1571" s="469">
        <f t="shared" si="145"/>
        <v>5792118.3805357143</v>
      </c>
      <c r="H1571" s="506">
        <f>+J1564*G1571+E1571</f>
        <v>1013727.6345474743</v>
      </c>
      <c r="I1571" s="512">
        <f>+J1565*G1571+E1571</f>
        <v>1013727.6345474743</v>
      </c>
      <c r="J1571" s="509">
        <f t="shared" si="146"/>
        <v>0</v>
      </c>
      <c r="K1571" s="509"/>
      <c r="L1571" s="513">
        <v>1177370</v>
      </c>
      <c r="M1571" s="509">
        <f t="shared" si="147"/>
        <v>-163642.36545252567</v>
      </c>
      <c r="N1571" s="513">
        <v>1177370</v>
      </c>
      <c r="O1571" s="509">
        <f t="shared" si="148"/>
        <v>-163642.36545252567</v>
      </c>
      <c r="P1571" s="509">
        <f t="shared" si="149"/>
        <v>0</v>
      </c>
      <c r="Q1571" s="471"/>
    </row>
    <row r="1572" spans="3:17">
      <c r="C1572" s="505">
        <f>IF(D1563="","-",+C1571+1)</f>
        <v>2018</v>
      </c>
      <c r="D1572" s="469">
        <f t="shared" si="150"/>
        <v>5719565.7494642856</v>
      </c>
      <c r="E1572" s="511">
        <f t="shared" si="151"/>
        <v>145105.26214285716</v>
      </c>
      <c r="F1572" s="511">
        <f t="shared" si="144"/>
        <v>5574460.487321428</v>
      </c>
      <c r="G1572" s="469">
        <f t="shared" si="145"/>
        <v>5647013.1183928568</v>
      </c>
      <c r="H1572" s="506">
        <f>+J1564*G1572+E1572</f>
        <v>991966.74004046922</v>
      </c>
      <c r="I1572" s="512">
        <f>+J1565*G1572+E1572</f>
        <v>991966.74004046922</v>
      </c>
      <c r="J1572" s="509">
        <f t="shared" si="146"/>
        <v>0</v>
      </c>
      <c r="K1572" s="509"/>
      <c r="L1572" s="513">
        <v>974758</v>
      </c>
      <c r="M1572" s="509">
        <f t="shared" si="147"/>
        <v>17208.740040469216</v>
      </c>
      <c r="N1572" s="513">
        <v>974758</v>
      </c>
      <c r="O1572" s="509">
        <f t="shared" si="148"/>
        <v>17208.740040469216</v>
      </c>
      <c r="P1572" s="509">
        <f t="shared" si="149"/>
        <v>0</v>
      </c>
      <c r="Q1572" s="471"/>
    </row>
    <row r="1573" spans="3:17">
      <c r="C1573" s="505">
        <f>IF(D1563="","-",+C1572+1)</f>
        <v>2019</v>
      </c>
      <c r="D1573" s="941">
        <f t="shared" si="150"/>
        <v>5574460.487321428</v>
      </c>
      <c r="E1573" s="511">
        <f t="shared" si="151"/>
        <v>145105.26214285716</v>
      </c>
      <c r="F1573" s="511">
        <f t="shared" si="144"/>
        <v>5429355.2251785705</v>
      </c>
      <c r="G1573" s="469">
        <f t="shared" si="145"/>
        <v>5501907.8562499993</v>
      </c>
      <c r="H1573" s="506">
        <f>+J1564*G1573+E1573</f>
        <v>970205.8455334641</v>
      </c>
      <c r="I1573" s="512">
        <f>+J1565*G1573+E1573</f>
        <v>970205.8455334641</v>
      </c>
      <c r="J1573" s="509">
        <f t="shared" si="146"/>
        <v>0</v>
      </c>
      <c r="K1573" s="509"/>
      <c r="L1573" s="513">
        <v>948328</v>
      </c>
      <c r="M1573" s="509">
        <f t="shared" si="147"/>
        <v>21877.845533464104</v>
      </c>
      <c r="N1573" s="513">
        <v>948328</v>
      </c>
      <c r="O1573" s="509">
        <f t="shared" si="148"/>
        <v>21877.845533464104</v>
      </c>
      <c r="P1573" s="509">
        <f t="shared" si="149"/>
        <v>0</v>
      </c>
      <c r="Q1573" s="471"/>
    </row>
    <row r="1574" spans="3:17">
      <c r="C1574" s="505">
        <f>IF(D1563="","-",+C1573+1)</f>
        <v>2020</v>
      </c>
      <c r="D1574" s="941">
        <f t="shared" si="150"/>
        <v>5429355.2251785705</v>
      </c>
      <c r="E1574" s="511">
        <f t="shared" si="151"/>
        <v>145105.26214285716</v>
      </c>
      <c r="F1574" s="511">
        <f t="shared" si="144"/>
        <v>5284249.9630357129</v>
      </c>
      <c r="G1574" s="469">
        <f t="shared" si="145"/>
        <v>5356802.5941071417</v>
      </c>
      <c r="H1574" s="506">
        <f>+J1564*G1574+E1574</f>
        <v>948444.95102645899</v>
      </c>
      <c r="I1574" s="512">
        <f>+J1565*G1574+E1574</f>
        <v>948444.95102645899</v>
      </c>
      <c r="J1574" s="509">
        <f t="shared" si="146"/>
        <v>0</v>
      </c>
      <c r="K1574" s="509"/>
      <c r="L1574" s="513">
        <v>914070.39983147441</v>
      </c>
      <c r="M1574" s="509">
        <f t="shared" si="147"/>
        <v>34374.551194984582</v>
      </c>
      <c r="N1574" s="513">
        <v>914070.39983147441</v>
      </c>
      <c r="O1574" s="509">
        <f t="shared" si="148"/>
        <v>34374.551194984582</v>
      </c>
      <c r="P1574" s="509">
        <f t="shared" si="149"/>
        <v>0</v>
      </c>
      <c r="Q1574" s="471"/>
    </row>
    <row r="1575" spans="3:17">
      <c r="C1575" s="505">
        <f>IF(D1563="","-",+C1574+1)</f>
        <v>2021</v>
      </c>
      <c r="D1575" s="941">
        <f t="shared" si="150"/>
        <v>5284249.9630357129</v>
      </c>
      <c r="E1575" s="511">
        <f t="shared" si="151"/>
        <v>145105.26214285716</v>
      </c>
      <c r="F1575" s="511">
        <f t="shared" si="144"/>
        <v>5139144.7008928554</v>
      </c>
      <c r="G1575" s="469">
        <f t="shared" si="145"/>
        <v>5211697.3319642842</v>
      </c>
      <c r="H1575" s="506">
        <f>+J1564*G1575+E1575</f>
        <v>926684.056519454</v>
      </c>
      <c r="I1575" s="512">
        <f>+J1565*G1575+E1575</f>
        <v>926684.056519454</v>
      </c>
      <c r="J1575" s="509">
        <f t="shared" si="146"/>
        <v>0</v>
      </c>
      <c r="K1575" s="509"/>
      <c r="L1575" s="513">
        <v>891359.34134511673</v>
      </c>
      <c r="M1575" s="509">
        <f t="shared" si="147"/>
        <v>35324.715174337267</v>
      </c>
      <c r="N1575" s="513">
        <v>891359.34134511673</v>
      </c>
      <c r="O1575" s="509">
        <f t="shared" si="148"/>
        <v>35324.715174337267</v>
      </c>
      <c r="P1575" s="509">
        <f t="shared" si="149"/>
        <v>0</v>
      </c>
      <c r="Q1575" s="471"/>
    </row>
    <row r="1576" spans="3:17">
      <c r="C1576" s="505">
        <f>IF(D1563="","-",+C1575+1)</f>
        <v>2022</v>
      </c>
      <c r="D1576" s="469">
        <f t="shared" si="150"/>
        <v>5139144.7008928554</v>
      </c>
      <c r="E1576" s="511">
        <f t="shared" si="151"/>
        <v>145105.26214285716</v>
      </c>
      <c r="F1576" s="511">
        <f t="shared" si="144"/>
        <v>4994039.4387499979</v>
      </c>
      <c r="G1576" s="469">
        <f t="shared" si="145"/>
        <v>5066592.0698214266</v>
      </c>
      <c r="H1576" s="506">
        <f>+J1564*G1576+E1576</f>
        <v>904923.16201244888</v>
      </c>
      <c r="I1576" s="512">
        <f>+J1565*G1576+E1576</f>
        <v>904923.16201244888</v>
      </c>
      <c r="J1576" s="509">
        <f t="shared" si="146"/>
        <v>0</v>
      </c>
      <c r="K1576" s="509"/>
      <c r="L1576" s="513">
        <v>875128.86786473938</v>
      </c>
      <c r="M1576" s="509">
        <f t="shared" si="147"/>
        <v>29794.294147709501</v>
      </c>
      <c r="N1576" s="513">
        <v>875128.86786473938</v>
      </c>
      <c r="O1576" s="509">
        <f t="shared" si="148"/>
        <v>29794.294147709501</v>
      </c>
      <c r="P1576" s="509">
        <f t="shared" si="149"/>
        <v>0</v>
      </c>
      <c r="Q1576" s="471"/>
    </row>
    <row r="1577" spans="3:17">
      <c r="C1577" s="505">
        <f>IF(D1563="","-",+C1576+1)</f>
        <v>2023</v>
      </c>
      <c r="D1577" s="469">
        <f t="shared" si="150"/>
        <v>4994039.4387499979</v>
      </c>
      <c r="E1577" s="511">
        <f t="shared" si="151"/>
        <v>145105.26214285716</v>
      </c>
      <c r="F1577" s="511">
        <f t="shared" si="144"/>
        <v>4848934.1766071403</v>
      </c>
      <c r="G1577" s="469">
        <f t="shared" si="145"/>
        <v>4921486.8076785691</v>
      </c>
      <c r="H1577" s="506">
        <f>+J1564*G1577+E1577</f>
        <v>883162.26750544377</v>
      </c>
      <c r="I1577" s="512">
        <f>+J1565*G1577+E1577</f>
        <v>883162.26750544377</v>
      </c>
      <c r="J1577" s="509">
        <f t="shared" si="146"/>
        <v>0</v>
      </c>
      <c r="K1577" s="509"/>
      <c r="L1577" s="513">
        <v>888788.86910661892</v>
      </c>
      <c r="M1577" s="509">
        <f t="shared" si="147"/>
        <v>-5626.601601175149</v>
      </c>
      <c r="N1577" s="513">
        <v>888788.86910661892</v>
      </c>
      <c r="O1577" s="509">
        <f t="shared" si="148"/>
        <v>-5626.601601175149</v>
      </c>
      <c r="P1577" s="509">
        <f t="shared" si="149"/>
        <v>0</v>
      </c>
      <c r="Q1577" s="471"/>
    </row>
    <row r="1578" spans="3:17">
      <c r="C1578" s="963">
        <f>IF(D1563="","-",+C1577+1)</f>
        <v>2024</v>
      </c>
      <c r="D1578" s="469">
        <f t="shared" si="150"/>
        <v>4848934.1766071403</v>
      </c>
      <c r="E1578" s="511">
        <f t="shared" si="151"/>
        <v>145105.26214285716</v>
      </c>
      <c r="F1578" s="511">
        <f t="shared" si="144"/>
        <v>4703828.9144642828</v>
      </c>
      <c r="G1578" s="469">
        <f t="shared" si="145"/>
        <v>4776381.5455357116</v>
      </c>
      <c r="H1578" s="506">
        <f>+J1564*G1578+E1578</f>
        <v>861401.37299843866</v>
      </c>
      <c r="I1578" s="512">
        <f>+J1565*G1578+E1578</f>
        <v>861401.37299843866</v>
      </c>
      <c r="J1578" s="509">
        <f t="shared" si="146"/>
        <v>0</v>
      </c>
      <c r="K1578" s="509"/>
      <c r="L1578" s="513">
        <v>863371.76947592897</v>
      </c>
      <c r="M1578" s="509">
        <f t="shared" si="147"/>
        <v>-1970.3964774903143</v>
      </c>
      <c r="N1578" s="513">
        <v>863371.76947592897</v>
      </c>
      <c r="O1578" s="509">
        <f t="shared" si="148"/>
        <v>-1970.3964774903143</v>
      </c>
      <c r="P1578" s="509">
        <f t="shared" si="149"/>
        <v>0</v>
      </c>
      <c r="Q1578" s="471"/>
    </row>
    <row r="1579" spans="3:17">
      <c r="C1579" s="505">
        <f>IF(D1563="","-",+C1578+1)</f>
        <v>2025</v>
      </c>
      <c r="D1579" s="469">
        <f t="shared" si="150"/>
        <v>4703828.9144642828</v>
      </c>
      <c r="E1579" s="511">
        <f t="shared" si="151"/>
        <v>145105.26214285716</v>
      </c>
      <c r="F1579" s="511">
        <f t="shared" si="144"/>
        <v>4558723.6523214253</v>
      </c>
      <c r="G1579" s="469">
        <f t="shared" si="145"/>
        <v>4631276.283392854</v>
      </c>
      <c r="H1579" s="506">
        <f>+J1564*G1579+E1579</f>
        <v>839640.47849143366</v>
      </c>
      <c r="I1579" s="512">
        <f>+J1565*G1579+E1579</f>
        <v>839640.47849143366</v>
      </c>
      <c r="J1579" s="509">
        <f t="shared" si="146"/>
        <v>0</v>
      </c>
      <c r="K1579" s="509"/>
      <c r="L1579" s="513">
        <v>816868.48150391574</v>
      </c>
      <c r="M1579" s="509">
        <f t="shared" si="147"/>
        <v>22771.996987517923</v>
      </c>
      <c r="N1579" s="513">
        <v>816868.48150391574</v>
      </c>
      <c r="O1579" s="509">
        <f t="shared" si="148"/>
        <v>22771.996987517923</v>
      </c>
      <c r="P1579" s="509">
        <f t="shared" si="149"/>
        <v>0</v>
      </c>
      <c r="Q1579" s="471"/>
    </row>
    <row r="1580" spans="3:17">
      <c r="C1580" s="505">
        <f>IF(D1563="","-",+C1579+1)</f>
        <v>2026</v>
      </c>
      <c r="D1580" s="469">
        <f t="shared" si="150"/>
        <v>4558723.6523214253</v>
      </c>
      <c r="E1580" s="511">
        <f t="shared" si="151"/>
        <v>145105.26214285716</v>
      </c>
      <c r="F1580" s="511">
        <f t="shared" si="144"/>
        <v>4413618.3901785677</v>
      </c>
      <c r="G1580" s="469">
        <f t="shared" si="145"/>
        <v>4486171.0212499965</v>
      </c>
      <c r="H1580" s="506">
        <f>+J1564*G1580+E1580</f>
        <v>817879.58398442855</v>
      </c>
      <c r="I1580" s="512">
        <f>+J1565*G1580+E1580</f>
        <v>817879.58398442855</v>
      </c>
      <c r="J1580" s="509">
        <f t="shared" si="146"/>
        <v>0</v>
      </c>
      <c r="K1580" s="509"/>
      <c r="L1580" s="513"/>
      <c r="M1580" s="509">
        <f t="shared" si="147"/>
        <v>0</v>
      </c>
      <c r="N1580" s="513"/>
      <c r="O1580" s="509">
        <f t="shared" si="148"/>
        <v>0</v>
      </c>
      <c r="P1580" s="509">
        <f t="shared" si="149"/>
        <v>0</v>
      </c>
      <c r="Q1580" s="471"/>
    </row>
    <row r="1581" spans="3:17">
      <c r="C1581" s="505">
        <f>IF(D1563="","-",+C1580+1)</f>
        <v>2027</v>
      </c>
      <c r="D1581" s="469">
        <f t="shared" si="150"/>
        <v>4413618.3901785677</v>
      </c>
      <c r="E1581" s="511">
        <f t="shared" si="151"/>
        <v>145105.26214285716</v>
      </c>
      <c r="F1581" s="511">
        <f t="shared" si="144"/>
        <v>4268513.1280357102</v>
      </c>
      <c r="G1581" s="469">
        <f t="shared" si="145"/>
        <v>4341065.759107139</v>
      </c>
      <c r="H1581" s="506">
        <f>+J1564*G1581+E1581</f>
        <v>796118.68947742344</v>
      </c>
      <c r="I1581" s="512">
        <f>+J1565*G1581+E1581</f>
        <v>796118.68947742344</v>
      </c>
      <c r="J1581" s="509">
        <f t="shared" si="146"/>
        <v>0</v>
      </c>
      <c r="K1581" s="509"/>
      <c r="L1581" s="513"/>
      <c r="M1581" s="509">
        <f t="shared" si="147"/>
        <v>0</v>
      </c>
      <c r="N1581" s="513"/>
      <c r="O1581" s="509">
        <f t="shared" si="148"/>
        <v>0</v>
      </c>
      <c r="P1581" s="509">
        <f t="shared" si="149"/>
        <v>0</v>
      </c>
      <c r="Q1581" s="471"/>
    </row>
    <row r="1582" spans="3:17">
      <c r="C1582" s="505">
        <f>IF(D1563="","-",+C1581+1)</f>
        <v>2028</v>
      </c>
      <c r="D1582" s="469">
        <f t="shared" si="150"/>
        <v>4268513.1280357102</v>
      </c>
      <c r="E1582" s="511">
        <f t="shared" si="151"/>
        <v>145105.26214285716</v>
      </c>
      <c r="F1582" s="511">
        <f t="shared" si="144"/>
        <v>4123407.8658928531</v>
      </c>
      <c r="G1582" s="469">
        <f t="shared" si="145"/>
        <v>4195960.4969642814</v>
      </c>
      <c r="H1582" s="506">
        <f>+J1564*G1582+E1582</f>
        <v>774357.79497041844</v>
      </c>
      <c r="I1582" s="512">
        <f>+J1565*G1582+E1582</f>
        <v>774357.79497041844</v>
      </c>
      <c r="J1582" s="509">
        <f t="shared" si="146"/>
        <v>0</v>
      </c>
      <c r="K1582" s="509"/>
      <c r="L1582" s="513"/>
      <c r="M1582" s="509">
        <f t="shared" si="147"/>
        <v>0</v>
      </c>
      <c r="N1582" s="513"/>
      <c r="O1582" s="509">
        <f t="shared" si="148"/>
        <v>0</v>
      </c>
      <c r="P1582" s="509">
        <f t="shared" si="149"/>
        <v>0</v>
      </c>
      <c r="Q1582" s="471"/>
    </row>
    <row r="1583" spans="3:17">
      <c r="C1583" s="505">
        <f>IF(D1563="","-",+C1582+1)</f>
        <v>2029</v>
      </c>
      <c r="D1583" s="469">
        <f t="shared" si="150"/>
        <v>4123407.8658928531</v>
      </c>
      <c r="E1583" s="511">
        <f t="shared" si="151"/>
        <v>145105.26214285716</v>
      </c>
      <c r="F1583" s="511">
        <f t="shared" si="144"/>
        <v>3978302.6037499961</v>
      </c>
      <c r="G1583" s="469">
        <f t="shared" si="145"/>
        <v>4050855.2348214248</v>
      </c>
      <c r="H1583" s="506">
        <f>+J1564*G1583+E1583</f>
        <v>752596.90046341345</v>
      </c>
      <c r="I1583" s="512">
        <f>+J1565*G1583+E1583</f>
        <v>752596.90046341345</v>
      </c>
      <c r="J1583" s="509">
        <f t="shared" si="146"/>
        <v>0</v>
      </c>
      <c r="K1583" s="509"/>
      <c r="L1583" s="513"/>
      <c r="M1583" s="509">
        <f t="shared" si="147"/>
        <v>0</v>
      </c>
      <c r="N1583" s="513"/>
      <c r="O1583" s="509">
        <f t="shared" si="148"/>
        <v>0</v>
      </c>
      <c r="P1583" s="509">
        <f t="shared" si="149"/>
        <v>0</v>
      </c>
      <c r="Q1583" s="471"/>
    </row>
    <row r="1584" spans="3:17">
      <c r="C1584" s="505">
        <f>IF(D1563="","-",+C1583+1)</f>
        <v>2030</v>
      </c>
      <c r="D1584" s="469">
        <f t="shared" si="150"/>
        <v>3978302.6037499961</v>
      </c>
      <c r="E1584" s="511">
        <f t="shared" si="151"/>
        <v>145105.26214285716</v>
      </c>
      <c r="F1584" s="511">
        <f t="shared" si="144"/>
        <v>3833197.341607139</v>
      </c>
      <c r="G1584" s="469">
        <f t="shared" si="145"/>
        <v>3905749.9726785673</v>
      </c>
      <c r="H1584" s="506">
        <f>+J1564*G1584+E1584</f>
        <v>730836.00595640833</v>
      </c>
      <c r="I1584" s="512">
        <f>+J1565*G1584+E1584</f>
        <v>730836.00595640833</v>
      </c>
      <c r="J1584" s="509">
        <f t="shared" si="146"/>
        <v>0</v>
      </c>
      <c r="K1584" s="509"/>
      <c r="L1584" s="513"/>
      <c r="M1584" s="509">
        <f t="shared" si="147"/>
        <v>0</v>
      </c>
      <c r="N1584" s="513"/>
      <c r="O1584" s="509">
        <f t="shared" si="148"/>
        <v>0</v>
      </c>
      <c r="P1584" s="509">
        <f t="shared" si="149"/>
        <v>0</v>
      </c>
      <c r="Q1584" s="471"/>
    </row>
    <row r="1585" spans="3:17">
      <c r="C1585" s="505">
        <f>IF(D1563="","-",+C1584+1)</f>
        <v>2031</v>
      </c>
      <c r="D1585" s="469">
        <f t="shared" si="150"/>
        <v>3833197.341607139</v>
      </c>
      <c r="E1585" s="511">
        <f t="shared" si="151"/>
        <v>145105.26214285716</v>
      </c>
      <c r="F1585" s="511">
        <f t="shared" si="144"/>
        <v>3688092.0794642819</v>
      </c>
      <c r="G1585" s="469">
        <f t="shared" si="145"/>
        <v>3760644.7105357107</v>
      </c>
      <c r="H1585" s="506">
        <f>+J1564*G1585+E1585</f>
        <v>709075.11144940346</v>
      </c>
      <c r="I1585" s="512">
        <f>+J1565*G1585+E1585</f>
        <v>709075.11144940346</v>
      </c>
      <c r="J1585" s="509">
        <f t="shared" si="146"/>
        <v>0</v>
      </c>
      <c r="K1585" s="509"/>
      <c r="L1585" s="513"/>
      <c r="M1585" s="509">
        <f t="shared" si="147"/>
        <v>0</v>
      </c>
      <c r="N1585" s="513"/>
      <c r="O1585" s="509">
        <f t="shared" si="148"/>
        <v>0</v>
      </c>
      <c r="P1585" s="509">
        <f t="shared" si="149"/>
        <v>0</v>
      </c>
      <c r="Q1585" s="471"/>
    </row>
    <row r="1586" spans="3:17">
      <c r="C1586" s="505">
        <f>IF(D1563="","-",+C1585+1)</f>
        <v>2032</v>
      </c>
      <c r="D1586" s="469">
        <f t="shared" si="150"/>
        <v>3688092.0794642819</v>
      </c>
      <c r="E1586" s="511">
        <f t="shared" si="151"/>
        <v>145105.26214285716</v>
      </c>
      <c r="F1586" s="511">
        <f t="shared" si="144"/>
        <v>3542986.8173214248</v>
      </c>
      <c r="G1586" s="469">
        <f t="shared" si="145"/>
        <v>3615539.4483928531</v>
      </c>
      <c r="H1586" s="506">
        <f>+J1564*G1586+E1586</f>
        <v>687314.21694239834</v>
      </c>
      <c r="I1586" s="512">
        <f>+J1565*G1586+E1586</f>
        <v>687314.21694239834</v>
      </c>
      <c r="J1586" s="509">
        <f t="shared" si="146"/>
        <v>0</v>
      </c>
      <c r="K1586" s="509"/>
      <c r="L1586" s="513"/>
      <c r="M1586" s="509">
        <f t="shared" si="147"/>
        <v>0</v>
      </c>
      <c r="N1586" s="513"/>
      <c r="O1586" s="509">
        <f t="shared" si="148"/>
        <v>0</v>
      </c>
      <c r="P1586" s="509">
        <f t="shared" si="149"/>
        <v>0</v>
      </c>
      <c r="Q1586" s="471"/>
    </row>
    <row r="1587" spans="3:17">
      <c r="C1587" s="505">
        <f>IF(D1563="","-",+C1586+1)</f>
        <v>2033</v>
      </c>
      <c r="D1587" s="469">
        <f t="shared" si="150"/>
        <v>3542986.8173214248</v>
      </c>
      <c r="E1587" s="511">
        <f t="shared" si="151"/>
        <v>145105.26214285716</v>
      </c>
      <c r="F1587" s="511">
        <f t="shared" si="144"/>
        <v>3397881.5551785678</v>
      </c>
      <c r="G1587" s="469">
        <f t="shared" si="145"/>
        <v>3470434.1862499965</v>
      </c>
      <c r="H1587" s="506">
        <f>+J1564*G1587+E1587</f>
        <v>665553.32243539335</v>
      </c>
      <c r="I1587" s="512">
        <f>+J1565*G1587+E1587</f>
        <v>665553.32243539335</v>
      </c>
      <c r="J1587" s="509">
        <f t="shared" si="146"/>
        <v>0</v>
      </c>
      <c r="K1587" s="509"/>
      <c r="L1587" s="513"/>
      <c r="M1587" s="509">
        <f t="shared" si="147"/>
        <v>0</v>
      </c>
      <c r="N1587" s="513"/>
      <c r="O1587" s="509">
        <f t="shared" si="148"/>
        <v>0</v>
      </c>
      <c r="P1587" s="509">
        <f t="shared" si="149"/>
        <v>0</v>
      </c>
      <c r="Q1587" s="471"/>
    </row>
    <row r="1588" spans="3:17">
      <c r="C1588" s="505">
        <f>IF(D1563="","-",+C1587+1)</f>
        <v>2034</v>
      </c>
      <c r="D1588" s="469">
        <f t="shared" si="150"/>
        <v>3397881.5551785678</v>
      </c>
      <c r="E1588" s="511">
        <f t="shared" si="151"/>
        <v>145105.26214285716</v>
      </c>
      <c r="F1588" s="511">
        <f t="shared" si="144"/>
        <v>3252776.2930357107</v>
      </c>
      <c r="G1588" s="469">
        <f t="shared" si="145"/>
        <v>3325328.924107139</v>
      </c>
      <c r="H1588" s="506">
        <f>+J1564*G1588+E1588</f>
        <v>643792.42792838835</v>
      </c>
      <c r="I1588" s="512">
        <f>+J1565*G1588+E1588</f>
        <v>643792.42792838835</v>
      </c>
      <c r="J1588" s="509">
        <f t="shared" si="146"/>
        <v>0</v>
      </c>
      <c r="K1588" s="509"/>
      <c r="L1588" s="513"/>
      <c r="M1588" s="509">
        <f t="shared" si="147"/>
        <v>0</v>
      </c>
      <c r="N1588" s="513"/>
      <c r="O1588" s="509">
        <f t="shared" si="148"/>
        <v>0</v>
      </c>
      <c r="P1588" s="509">
        <f t="shared" si="149"/>
        <v>0</v>
      </c>
      <c r="Q1588" s="471"/>
    </row>
    <row r="1589" spans="3:17">
      <c r="C1589" s="505">
        <f>IF(D1563="","-",+C1588+1)</f>
        <v>2035</v>
      </c>
      <c r="D1589" s="469">
        <f t="shared" si="150"/>
        <v>3252776.2930357107</v>
      </c>
      <c r="E1589" s="511">
        <f t="shared" si="151"/>
        <v>145105.26214285716</v>
      </c>
      <c r="F1589" s="511">
        <f t="shared" si="144"/>
        <v>3107671.0308928536</v>
      </c>
      <c r="G1589" s="469">
        <f t="shared" si="145"/>
        <v>3180223.6619642824</v>
      </c>
      <c r="H1589" s="506">
        <f>+J1564*G1589+E1589</f>
        <v>622031.53342138336</v>
      </c>
      <c r="I1589" s="512">
        <f>+J1565*G1589+E1589</f>
        <v>622031.53342138336</v>
      </c>
      <c r="J1589" s="509">
        <f t="shared" si="146"/>
        <v>0</v>
      </c>
      <c r="K1589" s="509"/>
      <c r="L1589" s="513"/>
      <c r="M1589" s="509">
        <f t="shared" si="147"/>
        <v>0</v>
      </c>
      <c r="N1589" s="513"/>
      <c r="O1589" s="509">
        <f t="shared" si="148"/>
        <v>0</v>
      </c>
      <c r="P1589" s="509">
        <f t="shared" si="149"/>
        <v>0</v>
      </c>
      <c r="Q1589" s="471"/>
    </row>
    <row r="1590" spans="3:17">
      <c r="C1590" s="505">
        <f>IF(D1563="","-",+C1589+1)</f>
        <v>2036</v>
      </c>
      <c r="D1590" s="469">
        <f t="shared" si="150"/>
        <v>3107671.0308928536</v>
      </c>
      <c r="E1590" s="511">
        <f t="shared" si="151"/>
        <v>145105.26214285716</v>
      </c>
      <c r="F1590" s="511">
        <f t="shared" si="144"/>
        <v>2962565.7687499966</v>
      </c>
      <c r="G1590" s="469">
        <f t="shared" si="145"/>
        <v>3035118.3998214249</v>
      </c>
      <c r="H1590" s="506">
        <f>+J1564*G1590+E1590</f>
        <v>600270.63891437824</v>
      </c>
      <c r="I1590" s="512">
        <f>+J1565*G1590+E1590</f>
        <v>600270.63891437824</v>
      </c>
      <c r="J1590" s="509">
        <f t="shared" si="146"/>
        <v>0</v>
      </c>
      <c r="K1590" s="509"/>
      <c r="L1590" s="513"/>
      <c r="M1590" s="509">
        <f t="shared" si="147"/>
        <v>0</v>
      </c>
      <c r="N1590" s="513"/>
      <c r="O1590" s="509">
        <f t="shared" si="148"/>
        <v>0</v>
      </c>
      <c r="P1590" s="509">
        <f t="shared" si="149"/>
        <v>0</v>
      </c>
      <c r="Q1590" s="471"/>
    </row>
    <row r="1591" spans="3:17">
      <c r="C1591" s="505">
        <f>IF(D1563="","-",+C1590+1)</f>
        <v>2037</v>
      </c>
      <c r="D1591" s="469">
        <f t="shared" si="150"/>
        <v>2962565.7687499966</v>
      </c>
      <c r="E1591" s="511">
        <f t="shared" si="151"/>
        <v>145105.26214285716</v>
      </c>
      <c r="F1591" s="511">
        <f t="shared" si="144"/>
        <v>2817460.5066071395</v>
      </c>
      <c r="G1591" s="469">
        <f t="shared" si="145"/>
        <v>2890013.1376785683</v>
      </c>
      <c r="H1591" s="506">
        <f>+J1564*G1591+E1591</f>
        <v>578509.74440737336</v>
      </c>
      <c r="I1591" s="512">
        <f>+J1565*G1591+E1591</f>
        <v>578509.74440737336</v>
      </c>
      <c r="J1591" s="509">
        <f t="shared" si="146"/>
        <v>0</v>
      </c>
      <c r="K1591" s="509"/>
      <c r="L1591" s="513"/>
      <c r="M1591" s="509">
        <f t="shared" si="147"/>
        <v>0</v>
      </c>
      <c r="N1591" s="513"/>
      <c r="O1591" s="509">
        <f t="shared" si="148"/>
        <v>0</v>
      </c>
      <c r="P1591" s="509">
        <f t="shared" si="149"/>
        <v>0</v>
      </c>
      <c r="Q1591" s="471"/>
    </row>
    <row r="1592" spans="3:17">
      <c r="C1592" s="505">
        <f>IF(D1563="","-",+C1591+1)</f>
        <v>2038</v>
      </c>
      <c r="D1592" s="469">
        <f t="shared" si="150"/>
        <v>2817460.5066071395</v>
      </c>
      <c r="E1592" s="511">
        <f t="shared" si="151"/>
        <v>145105.26214285716</v>
      </c>
      <c r="F1592" s="511">
        <f t="shared" si="144"/>
        <v>2672355.2444642824</v>
      </c>
      <c r="G1592" s="469">
        <f t="shared" si="145"/>
        <v>2744907.8755357107</v>
      </c>
      <c r="H1592" s="506">
        <f>+J1564*G1592+E1592</f>
        <v>556748.84990036825</v>
      </c>
      <c r="I1592" s="512">
        <f>+J1565*G1592+E1592</f>
        <v>556748.84990036825</v>
      </c>
      <c r="J1592" s="509">
        <f t="shared" si="146"/>
        <v>0</v>
      </c>
      <c r="K1592" s="509"/>
      <c r="L1592" s="513"/>
      <c r="M1592" s="509">
        <f t="shared" si="147"/>
        <v>0</v>
      </c>
      <c r="N1592" s="513"/>
      <c r="O1592" s="509">
        <f t="shared" si="148"/>
        <v>0</v>
      </c>
      <c r="P1592" s="509">
        <f t="shared" si="149"/>
        <v>0</v>
      </c>
      <c r="Q1592" s="471"/>
    </row>
    <row r="1593" spans="3:17">
      <c r="C1593" s="505">
        <f>IF(D1563="","-",+C1592+1)</f>
        <v>2039</v>
      </c>
      <c r="D1593" s="469">
        <f t="shared" si="150"/>
        <v>2672355.2444642824</v>
      </c>
      <c r="E1593" s="511">
        <f t="shared" si="151"/>
        <v>145105.26214285716</v>
      </c>
      <c r="F1593" s="511">
        <f t="shared" si="144"/>
        <v>2527249.9823214253</v>
      </c>
      <c r="G1593" s="469">
        <f t="shared" si="145"/>
        <v>2599802.6133928541</v>
      </c>
      <c r="H1593" s="506">
        <f>+J1564*G1593+E1593</f>
        <v>534987.95539336337</v>
      </c>
      <c r="I1593" s="512">
        <f>+J1565*G1593+E1593</f>
        <v>534987.95539336337</v>
      </c>
      <c r="J1593" s="509">
        <f t="shared" si="146"/>
        <v>0</v>
      </c>
      <c r="K1593" s="509"/>
      <c r="L1593" s="513"/>
      <c r="M1593" s="509">
        <f t="shared" si="147"/>
        <v>0</v>
      </c>
      <c r="N1593" s="513"/>
      <c r="O1593" s="509">
        <f t="shared" si="148"/>
        <v>0</v>
      </c>
      <c r="P1593" s="509">
        <f t="shared" si="149"/>
        <v>0</v>
      </c>
      <c r="Q1593" s="471"/>
    </row>
    <row r="1594" spans="3:17">
      <c r="C1594" s="505">
        <f>IF(D1563="","-",+C1593+1)</f>
        <v>2040</v>
      </c>
      <c r="D1594" s="469">
        <f t="shared" si="150"/>
        <v>2527249.9823214253</v>
      </c>
      <c r="E1594" s="511">
        <f t="shared" si="151"/>
        <v>145105.26214285716</v>
      </c>
      <c r="F1594" s="511">
        <f t="shared" si="144"/>
        <v>2382144.7201785683</v>
      </c>
      <c r="G1594" s="469">
        <f t="shared" si="145"/>
        <v>2454697.3512499966</v>
      </c>
      <c r="H1594" s="506">
        <f>+J1564*G1594+E1594</f>
        <v>513227.06088635826</v>
      </c>
      <c r="I1594" s="512">
        <f>+J1565*G1594+E1594</f>
        <v>513227.06088635826</v>
      </c>
      <c r="J1594" s="509">
        <f t="shared" si="146"/>
        <v>0</v>
      </c>
      <c r="K1594" s="509"/>
      <c r="L1594" s="513"/>
      <c r="M1594" s="509">
        <f t="shared" si="147"/>
        <v>0</v>
      </c>
      <c r="N1594" s="513"/>
      <c r="O1594" s="509">
        <f t="shared" si="148"/>
        <v>0</v>
      </c>
      <c r="P1594" s="509">
        <f t="shared" si="149"/>
        <v>0</v>
      </c>
      <c r="Q1594" s="471"/>
    </row>
    <row r="1595" spans="3:17">
      <c r="C1595" s="505">
        <f>IF(D1563="","-",+C1594+1)</f>
        <v>2041</v>
      </c>
      <c r="D1595" s="469">
        <f t="shared" si="150"/>
        <v>2382144.7201785683</v>
      </c>
      <c r="E1595" s="511">
        <f t="shared" si="151"/>
        <v>145105.26214285716</v>
      </c>
      <c r="F1595" s="511">
        <f t="shared" si="144"/>
        <v>2237039.4580357112</v>
      </c>
      <c r="G1595" s="469">
        <f t="shared" si="145"/>
        <v>2309592.08910714</v>
      </c>
      <c r="H1595" s="506">
        <f>+J1564*G1595+E1595</f>
        <v>491466.16637935326</v>
      </c>
      <c r="I1595" s="512">
        <f>+J1565*G1595+E1595</f>
        <v>491466.16637935326</v>
      </c>
      <c r="J1595" s="509">
        <f t="shared" si="146"/>
        <v>0</v>
      </c>
      <c r="K1595" s="509"/>
      <c r="L1595" s="513"/>
      <c r="M1595" s="509">
        <f t="shared" si="147"/>
        <v>0</v>
      </c>
      <c r="N1595" s="513"/>
      <c r="O1595" s="509">
        <f t="shared" si="148"/>
        <v>0</v>
      </c>
      <c r="P1595" s="509">
        <f t="shared" si="149"/>
        <v>0</v>
      </c>
      <c r="Q1595" s="471"/>
    </row>
    <row r="1596" spans="3:17">
      <c r="C1596" s="505">
        <f>IF(D1563="","-",+C1595+1)</f>
        <v>2042</v>
      </c>
      <c r="D1596" s="469">
        <f t="shared" si="150"/>
        <v>2237039.4580357112</v>
      </c>
      <c r="E1596" s="511">
        <f t="shared" si="151"/>
        <v>145105.26214285716</v>
      </c>
      <c r="F1596" s="511">
        <f t="shared" si="144"/>
        <v>2091934.1958928541</v>
      </c>
      <c r="G1596" s="469">
        <f t="shared" si="145"/>
        <v>2164486.8269642824</v>
      </c>
      <c r="H1596" s="506">
        <f>+J1564*G1596+E1596</f>
        <v>469705.27187234827</v>
      </c>
      <c r="I1596" s="512">
        <f>+J1565*G1596+E1596</f>
        <v>469705.27187234827</v>
      </c>
      <c r="J1596" s="509">
        <f t="shared" si="146"/>
        <v>0</v>
      </c>
      <c r="K1596" s="509"/>
      <c r="L1596" s="513"/>
      <c r="M1596" s="509">
        <f t="shared" si="147"/>
        <v>0</v>
      </c>
      <c r="N1596" s="513"/>
      <c r="O1596" s="509">
        <f t="shared" si="148"/>
        <v>0</v>
      </c>
      <c r="P1596" s="509">
        <f t="shared" si="149"/>
        <v>0</v>
      </c>
      <c r="Q1596" s="471"/>
    </row>
    <row r="1597" spans="3:17">
      <c r="C1597" s="505">
        <f>IF(D1563="","-",+C1596+1)</f>
        <v>2043</v>
      </c>
      <c r="D1597" s="469">
        <f t="shared" si="150"/>
        <v>2091934.1958928541</v>
      </c>
      <c r="E1597" s="511">
        <f t="shared" si="151"/>
        <v>145105.26214285716</v>
      </c>
      <c r="F1597" s="511">
        <f t="shared" si="144"/>
        <v>1946828.9337499971</v>
      </c>
      <c r="G1597" s="469">
        <f t="shared" si="145"/>
        <v>2019381.5648214256</v>
      </c>
      <c r="H1597" s="506">
        <f>+J1564*G1597+E1597</f>
        <v>447944.37736534327</v>
      </c>
      <c r="I1597" s="512">
        <f>+J1565*G1597+E1597</f>
        <v>447944.37736534327</v>
      </c>
      <c r="J1597" s="509">
        <f t="shared" si="146"/>
        <v>0</v>
      </c>
      <c r="K1597" s="509"/>
      <c r="L1597" s="513"/>
      <c r="M1597" s="509">
        <f t="shared" si="147"/>
        <v>0</v>
      </c>
      <c r="N1597" s="513"/>
      <c r="O1597" s="509">
        <f t="shared" si="148"/>
        <v>0</v>
      </c>
      <c r="P1597" s="509">
        <f t="shared" si="149"/>
        <v>0</v>
      </c>
      <c r="Q1597" s="471"/>
    </row>
    <row r="1598" spans="3:17">
      <c r="C1598" s="505">
        <f>IF(D1563="","-",+C1597+1)</f>
        <v>2044</v>
      </c>
      <c r="D1598" s="469">
        <f t="shared" si="150"/>
        <v>1946828.9337499971</v>
      </c>
      <c r="E1598" s="511">
        <f t="shared" si="151"/>
        <v>145105.26214285716</v>
      </c>
      <c r="F1598" s="511">
        <f t="shared" si="144"/>
        <v>1801723.67160714</v>
      </c>
      <c r="G1598" s="469">
        <f t="shared" si="145"/>
        <v>1874276.3026785685</v>
      </c>
      <c r="H1598" s="506">
        <f>+J1564*G1598+E1598</f>
        <v>426183.48285833828</v>
      </c>
      <c r="I1598" s="512">
        <f>+J1565*G1598+E1598</f>
        <v>426183.48285833828</v>
      </c>
      <c r="J1598" s="509">
        <f t="shared" si="146"/>
        <v>0</v>
      </c>
      <c r="K1598" s="509"/>
      <c r="L1598" s="513"/>
      <c r="M1598" s="509">
        <f t="shared" si="147"/>
        <v>0</v>
      </c>
      <c r="N1598" s="513"/>
      <c r="O1598" s="509">
        <f t="shared" si="148"/>
        <v>0</v>
      </c>
      <c r="P1598" s="509">
        <f t="shared" si="149"/>
        <v>0</v>
      </c>
      <c r="Q1598" s="471"/>
    </row>
    <row r="1599" spans="3:17">
      <c r="C1599" s="505">
        <f>IF(D1563="","-",+C1598+1)</f>
        <v>2045</v>
      </c>
      <c r="D1599" s="469">
        <f t="shared" si="150"/>
        <v>1801723.67160714</v>
      </c>
      <c r="E1599" s="511">
        <f t="shared" si="151"/>
        <v>145105.26214285716</v>
      </c>
      <c r="F1599" s="511">
        <f t="shared" si="144"/>
        <v>1656618.4094642829</v>
      </c>
      <c r="G1599" s="469">
        <f t="shared" si="145"/>
        <v>1729171.0405357115</v>
      </c>
      <c r="H1599" s="506">
        <f>+J1564*G1599+E1599</f>
        <v>404422.58835133322</v>
      </c>
      <c r="I1599" s="512">
        <f>+J1565*G1599+E1599</f>
        <v>404422.58835133322</v>
      </c>
      <c r="J1599" s="509">
        <f t="shared" si="146"/>
        <v>0</v>
      </c>
      <c r="K1599" s="509"/>
      <c r="L1599" s="513"/>
      <c r="M1599" s="509">
        <f t="shared" si="147"/>
        <v>0</v>
      </c>
      <c r="N1599" s="513"/>
      <c r="O1599" s="509">
        <f t="shared" si="148"/>
        <v>0</v>
      </c>
      <c r="P1599" s="509">
        <f t="shared" si="149"/>
        <v>0</v>
      </c>
      <c r="Q1599" s="471"/>
    </row>
    <row r="1600" spans="3:17">
      <c r="C1600" s="505">
        <f>IF(D1563="","-",+C1599+1)</f>
        <v>2046</v>
      </c>
      <c r="D1600" s="469">
        <f t="shared" si="150"/>
        <v>1656618.4094642829</v>
      </c>
      <c r="E1600" s="511">
        <f t="shared" si="151"/>
        <v>145105.26214285716</v>
      </c>
      <c r="F1600" s="511">
        <f t="shared" si="144"/>
        <v>1511513.1473214258</v>
      </c>
      <c r="G1600" s="469">
        <f t="shared" si="145"/>
        <v>1584065.7783928544</v>
      </c>
      <c r="H1600" s="506">
        <f>+J1564*G1600+E1600</f>
        <v>382661.69384432823</v>
      </c>
      <c r="I1600" s="512">
        <f>+J1565*G1600+E1600</f>
        <v>382661.69384432823</v>
      </c>
      <c r="J1600" s="509">
        <f t="shared" si="146"/>
        <v>0</v>
      </c>
      <c r="K1600" s="509"/>
      <c r="L1600" s="513"/>
      <c r="M1600" s="509">
        <f t="shared" si="147"/>
        <v>0</v>
      </c>
      <c r="N1600" s="513"/>
      <c r="O1600" s="509">
        <f t="shared" si="148"/>
        <v>0</v>
      </c>
      <c r="P1600" s="509">
        <f t="shared" si="149"/>
        <v>0</v>
      </c>
      <c r="Q1600" s="471"/>
    </row>
    <row r="1601" spans="3:17">
      <c r="C1601" s="505">
        <f>IF(D1563="","-",+C1600+1)</f>
        <v>2047</v>
      </c>
      <c r="D1601" s="469">
        <f t="shared" si="150"/>
        <v>1511513.1473214258</v>
      </c>
      <c r="E1601" s="511">
        <f t="shared" si="151"/>
        <v>145105.26214285716</v>
      </c>
      <c r="F1601" s="511">
        <f t="shared" si="144"/>
        <v>1366407.8851785688</v>
      </c>
      <c r="G1601" s="469">
        <f t="shared" si="145"/>
        <v>1438960.5162499973</v>
      </c>
      <c r="H1601" s="506">
        <f>+J1564*G1601+E1601</f>
        <v>360900.79933732317</v>
      </c>
      <c r="I1601" s="512">
        <f>+J1565*G1601+E1601</f>
        <v>360900.79933732317</v>
      </c>
      <c r="J1601" s="509">
        <f t="shared" si="146"/>
        <v>0</v>
      </c>
      <c r="K1601" s="509"/>
      <c r="L1601" s="513"/>
      <c r="M1601" s="509">
        <f t="shared" si="147"/>
        <v>0</v>
      </c>
      <c r="N1601" s="513"/>
      <c r="O1601" s="509">
        <f t="shared" si="148"/>
        <v>0</v>
      </c>
      <c r="P1601" s="509">
        <f t="shared" si="149"/>
        <v>0</v>
      </c>
      <c r="Q1601" s="471"/>
    </row>
    <row r="1602" spans="3:17">
      <c r="C1602" s="505">
        <f>IF(D1563="","-",+C1601+1)</f>
        <v>2048</v>
      </c>
      <c r="D1602" s="469">
        <f t="shared" si="150"/>
        <v>1366407.8851785688</v>
      </c>
      <c r="E1602" s="511">
        <f t="shared" si="151"/>
        <v>145105.26214285716</v>
      </c>
      <c r="F1602" s="511">
        <f t="shared" si="144"/>
        <v>1221302.6230357117</v>
      </c>
      <c r="G1602" s="469">
        <f t="shared" si="145"/>
        <v>1293855.2541071402</v>
      </c>
      <c r="H1602" s="506">
        <f>+J1564*G1602+E1602</f>
        <v>339139.90483031818</v>
      </c>
      <c r="I1602" s="512">
        <f>+J1565*G1602+E1602</f>
        <v>339139.90483031818</v>
      </c>
      <c r="J1602" s="509">
        <f t="shared" si="146"/>
        <v>0</v>
      </c>
      <c r="K1602" s="509"/>
      <c r="L1602" s="513"/>
      <c r="M1602" s="509">
        <f t="shared" si="147"/>
        <v>0</v>
      </c>
      <c r="N1602" s="513"/>
      <c r="O1602" s="509">
        <f t="shared" si="148"/>
        <v>0</v>
      </c>
      <c r="P1602" s="509">
        <f t="shared" si="149"/>
        <v>0</v>
      </c>
      <c r="Q1602" s="471"/>
    </row>
    <row r="1603" spans="3:17">
      <c r="C1603" s="505">
        <f>IF(D1563="","-",+C1602+1)</f>
        <v>2049</v>
      </c>
      <c r="D1603" s="469">
        <f t="shared" si="150"/>
        <v>1221302.6230357117</v>
      </c>
      <c r="E1603" s="511">
        <f t="shared" si="151"/>
        <v>145105.26214285716</v>
      </c>
      <c r="F1603" s="511">
        <f t="shared" si="144"/>
        <v>1076197.3608928546</v>
      </c>
      <c r="G1603" s="469">
        <f t="shared" si="145"/>
        <v>1148749.9919642832</v>
      </c>
      <c r="H1603" s="506">
        <f>+J1564*G1603+E1603</f>
        <v>317379.01032331318</v>
      </c>
      <c r="I1603" s="512">
        <f>+J1565*G1603+E1603</f>
        <v>317379.01032331318</v>
      </c>
      <c r="J1603" s="509">
        <f t="shared" si="146"/>
        <v>0</v>
      </c>
      <c r="K1603" s="509"/>
      <c r="L1603" s="513"/>
      <c r="M1603" s="509">
        <f t="shared" si="147"/>
        <v>0</v>
      </c>
      <c r="N1603" s="513"/>
      <c r="O1603" s="509">
        <f t="shared" si="148"/>
        <v>0</v>
      </c>
      <c r="P1603" s="509">
        <f t="shared" si="149"/>
        <v>0</v>
      </c>
      <c r="Q1603" s="471"/>
    </row>
    <row r="1604" spans="3:17">
      <c r="C1604" s="505">
        <f>IF(D1563="","-",+C1603+1)</f>
        <v>2050</v>
      </c>
      <c r="D1604" s="469">
        <f t="shared" si="150"/>
        <v>1076197.3608928546</v>
      </c>
      <c r="E1604" s="511">
        <f t="shared" si="151"/>
        <v>145105.26214285716</v>
      </c>
      <c r="F1604" s="511">
        <f t="shared" si="144"/>
        <v>931092.09874999744</v>
      </c>
      <c r="G1604" s="469">
        <f t="shared" si="145"/>
        <v>1003644.7298214261</v>
      </c>
      <c r="H1604" s="506">
        <f>+J1564*G1604+E1604</f>
        <v>295618.11581630819</v>
      </c>
      <c r="I1604" s="512">
        <f>+J1565*G1604+E1604</f>
        <v>295618.11581630819</v>
      </c>
      <c r="J1604" s="509">
        <f t="shared" si="146"/>
        <v>0</v>
      </c>
      <c r="K1604" s="509"/>
      <c r="L1604" s="513"/>
      <c r="M1604" s="509">
        <f t="shared" si="147"/>
        <v>0</v>
      </c>
      <c r="N1604" s="513"/>
      <c r="O1604" s="509">
        <f t="shared" si="148"/>
        <v>0</v>
      </c>
      <c r="P1604" s="509">
        <f t="shared" si="149"/>
        <v>0</v>
      </c>
      <c r="Q1604" s="471"/>
    </row>
    <row r="1605" spans="3:17">
      <c r="C1605" s="505">
        <f>IF(D1563="","-",+C1604+1)</f>
        <v>2051</v>
      </c>
      <c r="D1605" s="469">
        <f t="shared" si="150"/>
        <v>931092.09874999744</v>
      </c>
      <c r="E1605" s="511">
        <f t="shared" si="151"/>
        <v>145105.26214285716</v>
      </c>
      <c r="F1605" s="511">
        <f t="shared" si="144"/>
        <v>785986.83660714026</v>
      </c>
      <c r="G1605" s="469">
        <f t="shared" si="145"/>
        <v>858539.46767856879</v>
      </c>
      <c r="H1605" s="506">
        <f>+J1564*G1605+E1605</f>
        <v>273857.22130930313</v>
      </c>
      <c r="I1605" s="512">
        <f>+J1565*G1605+E1605</f>
        <v>273857.22130930313</v>
      </c>
      <c r="J1605" s="509">
        <f t="shared" si="146"/>
        <v>0</v>
      </c>
      <c r="K1605" s="509"/>
      <c r="L1605" s="513"/>
      <c r="M1605" s="509">
        <f t="shared" si="147"/>
        <v>0</v>
      </c>
      <c r="N1605" s="513"/>
      <c r="O1605" s="509">
        <f t="shared" si="148"/>
        <v>0</v>
      </c>
      <c r="P1605" s="509">
        <f t="shared" si="149"/>
        <v>0</v>
      </c>
      <c r="Q1605" s="471"/>
    </row>
    <row r="1606" spans="3:17">
      <c r="C1606" s="505">
        <f>IF(D1563="","-",+C1605+1)</f>
        <v>2052</v>
      </c>
      <c r="D1606" s="469">
        <f t="shared" si="150"/>
        <v>785986.83660714026</v>
      </c>
      <c r="E1606" s="511">
        <f t="shared" si="151"/>
        <v>145105.26214285716</v>
      </c>
      <c r="F1606" s="511">
        <f t="shared" si="144"/>
        <v>640881.57446428307</v>
      </c>
      <c r="G1606" s="469">
        <f t="shared" si="145"/>
        <v>713434.20553571172</v>
      </c>
      <c r="H1606" s="506">
        <f>+J1564*G1606+E1606</f>
        <v>252096.32680229814</v>
      </c>
      <c r="I1606" s="512">
        <f>+J1565*G1606+E1606</f>
        <v>252096.32680229814</v>
      </c>
      <c r="J1606" s="509">
        <f t="shared" si="146"/>
        <v>0</v>
      </c>
      <c r="K1606" s="509"/>
      <c r="L1606" s="513"/>
      <c r="M1606" s="509">
        <f t="shared" si="147"/>
        <v>0</v>
      </c>
      <c r="N1606" s="513"/>
      <c r="O1606" s="509">
        <f t="shared" si="148"/>
        <v>0</v>
      </c>
      <c r="P1606" s="509">
        <f t="shared" si="149"/>
        <v>0</v>
      </c>
      <c r="Q1606" s="471"/>
    </row>
    <row r="1607" spans="3:17">
      <c r="C1607" s="505">
        <f>IF(D1563="","-",+C1606+1)</f>
        <v>2053</v>
      </c>
      <c r="D1607" s="469">
        <f t="shared" si="150"/>
        <v>640881.57446428307</v>
      </c>
      <c r="E1607" s="511">
        <f t="shared" si="151"/>
        <v>145105.26214285716</v>
      </c>
      <c r="F1607" s="511">
        <f t="shared" si="144"/>
        <v>495776.31232142588</v>
      </c>
      <c r="G1607" s="469">
        <f t="shared" si="145"/>
        <v>568328.94339285442</v>
      </c>
      <c r="H1607" s="506">
        <f>+J1564*G1607+E1607</f>
        <v>230335.43229529308</v>
      </c>
      <c r="I1607" s="512">
        <f>+J1565*G1607+E1607</f>
        <v>230335.43229529308</v>
      </c>
      <c r="J1607" s="509">
        <f t="shared" si="146"/>
        <v>0</v>
      </c>
      <c r="K1607" s="509"/>
      <c r="L1607" s="513"/>
      <c r="M1607" s="509">
        <f t="shared" si="147"/>
        <v>0</v>
      </c>
      <c r="N1607" s="513"/>
      <c r="O1607" s="509">
        <f t="shared" si="148"/>
        <v>0</v>
      </c>
      <c r="P1607" s="509">
        <f t="shared" si="149"/>
        <v>0</v>
      </c>
      <c r="Q1607" s="471"/>
    </row>
    <row r="1608" spans="3:17">
      <c r="C1608" s="505">
        <f>IF(D1563="","-",+C1607+1)</f>
        <v>2054</v>
      </c>
      <c r="D1608" s="469">
        <f t="shared" si="150"/>
        <v>495776.31232142588</v>
      </c>
      <c r="E1608" s="511">
        <f t="shared" si="151"/>
        <v>145105.26214285716</v>
      </c>
      <c r="F1608" s="511">
        <f t="shared" si="144"/>
        <v>350671.05017856869</v>
      </c>
      <c r="G1608" s="469">
        <f t="shared" si="145"/>
        <v>423223.68124999729</v>
      </c>
      <c r="H1608" s="506">
        <f>+J1564*G1608+E1608</f>
        <v>208574.53778828806</v>
      </c>
      <c r="I1608" s="512">
        <f>+J1565*G1608+E1608</f>
        <v>208574.53778828806</v>
      </c>
      <c r="J1608" s="509">
        <f t="shared" si="146"/>
        <v>0</v>
      </c>
      <c r="K1608" s="509"/>
      <c r="L1608" s="513"/>
      <c r="M1608" s="509">
        <f t="shared" si="147"/>
        <v>0</v>
      </c>
      <c r="N1608" s="513"/>
      <c r="O1608" s="509">
        <f t="shared" si="148"/>
        <v>0</v>
      </c>
      <c r="P1608" s="509">
        <f t="shared" si="149"/>
        <v>0</v>
      </c>
      <c r="Q1608" s="471"/>
    </row>
    <row r="1609" spans="3:17">
      <c r="C1609" s="505">
        <f>IF(D1563="","-",+C1608+1)</f>
        <v>2055</v>
      </c>
      <c r="D1609" s="469">
        <f t="shared" si="150"/>
        <v>350671.05017856869</v>
      </c>
      <c r="E1609" s="511">
        <f t="shared" si="151"/>
        <v>145105.26214285716</v>
      </c>
      <c r="F1609" s="511">
        <f t="shared" si="144"/>
        <v>205565.78803571154</v>
      </c>
      <c r="G1609" s="469">
        <f t="shared" si="145"/>
        <v>278118.4191071401</v>
      </c>
      <c r="H1609" s="506">
        <f>+J1564*G1609+E1609</f>
        <v>186813.64328128303</v>
      </c>
      <c r="I1609" s="512">
        <f>+J1565*G1609+E1609</f>
        <v>186813.64328128303</v>
      </c>
      <c r="J1609" s="509">
        <f t="shared" si="146"/>
        <v>0</v>
      </c>
      <c r="K1609" s="509"/>
      <c r="L1609" s="513"/>
      <c r="M1609" s="509">
        <f t="shared" si="147"/>
        <v>0</v>
      </c>
      <c r="N1609" s="513"/>
      <c r="O1609" s="509">
        <f t="shared" si="148"/>
        <v>0</v>
      </c>
      <c r="P1609" s="509">
        <f t="shared" si="149"/>
        <v>0</v>
      </c>
      <c r="Q1609" s="471"/>
    </row>
    <row r="1610" spans="3:17">
      <c r="C1610" s="505">
        <f>IF(D1563="","-",+C1609+1)</f>
        <v>2056</v>
      </c>
      <c r="D1610" s="469">
        <f t="shared" si="150"/>
        <v>205565.78803571154</v>
      </c>
      <c r="E1610" s="511">
        <f t="shared" si="151"/>
        <v>145105.26214285716</v>
      </c>
      <c r="F1610" s="511">
        <f t="shared" si="144"/>
        <v>60460.525892854377</v>
      </c>
      <c r="G1610" s="469">
        <f t="shared" si="145"/>
        <v>133013.15696428297</v>
      </c>
      <c r="H1610" s="506">
        <f>+J1564*G1610+E1610</f>
        <v>165052.74877427801</v>
      </c>
      <c r="I1610" s="512">
        <f>+J1565*G1610+E1610</f>
        <v>165052.74877427801</v>
      </c>
      <c r="J1610" s="509">
        <f t="shared" si="146"/>
        <v>0</v>
      </c>
      <c r="K1610" s="509"/>
      <c r="L1610" s="513"/>
      <c r="M1610" s="509">
        <f t="shared" si="147"/>
        <v>0</v>
      </c>
      <c r="N1610" s="513"/>
      <c r="O1610" s="509">
        <f t="shared" si="148"/>
        <v>0</v>
      </c>
      <c r="P1610" s="509">
        <f t="shared" si="149"/>
        <v>0</v>
      </c>
      <c r="Q1610" s="471"/>
    </row>
    <row r="1611" spans="3:17">
      <c r="C1611" s="505">
        <f>IF(D1563="","-",+C1610+1)</f>
        <v>2057</v>
      </c>
      <c r="D1611" s="469">
        <f t="shared" si="150"/>
        <v>60460.525892854377</v>
      </c>
      <c r="E1611" s="511">
        <f t="shared" si="151"/>
        <v>60460.525892854377</v>
      </c>
      <c r="F1611" s="511">
        <f t="shared" si="144"/>
        <v>0</v>
      </c>
      <c r="G1611" s="469">
        <f t="shared" si="145"/>
        <v>30230.262946427189</v>
      </c>
      <c r="H1611" s="506">
        <f>+J1564*G1611+E1611</f>
        <v>64994.045581813552</v>
      </c>
      <c r="I1611" s="512">
        <f>+J1565*G1611+E1611</f>
        <v>64994.045581813552</v>
      </c>
      <c r="J1611" s="509">
        <f t="shared" si="146"/>
        <v>0</v>
      </c>
      <c r="K1611" s="509"/>
      <c r="L1611" s="513"/>
      <c r="M1611" s="509">
        <f t="shared" si="147"/>
        <v>0</v>
      </c>
      <c r="N1611" s="513"/>
      <c r="O1611" s="509">
        <f t="shared" si="148"/>
        <v>0</v>
      </c>
      <c r="P1611" s="509">
        <f t="shared" si="149"/>
        <v>0</v>
      </c>
      <c r="Q1611" s="471"/>
    </row>
    <row r="1612" spans="3:17">
      <c r="C1612" s="505">
        <f>IF(D1563="","-",+C1611+1)</f>
        <v>2058</v>
      </c>
      <c r="D1612" s="469">
        <f t="shared" si="150"/>
        <v>0</v>
      </c>
      <c r="E1612" s="511">
        <f t="shared" si="151"/>
        <v>0</v>
      </c>
      <c r="F1612" s="511">
        <f t="shared" si="144"/>
        <v>0</v>
      </c>
      <c r="G1612" s="469">
        <f t="shared" si="145"/>
        <v>0</v>
      </c>
      <c r="H1612" s="506">
        <f>+J1564*G1612+E1612</f>
        <v>0</v>
      </c>
      <c r="I1612" s="512">
        <f>+J1565*G1612+E1612</f>
        <v>0</v>
      </c>
      <c r="J1612" s="509">
        <f t="shared" si="146"/>
        <v>0</v>
      </c>
      <c r="K1612" s="509"/>
      <c r="L1612" s="513"/>
      <c r="M1612" s="509">
        <f t="shared" si="147"/>
        <v>0</v>
      </c>
      <c r="N1612" s="513"/>
      <c r="O1612" s="509">
        <f t="shared" si="148"/>
        <v>0</v>
      </c>
      <c r="P1612" s="509">
        <f t="shared" si="149"/>
        <v>0</v>
      </c>
      <c r="Q1612" s="471"/>
    </row>
    <row r="1613" spans="3:17">
      <c r="C1613" s="505">
        <f>IF(D1563="","-",+C1612+1)</f>
        <v>2059</v>
      </c>
      <c r="D1613" s="469">
        <f t="shared" si="150"/>
        <v>0</v>
      </c>
      <c r="E1613" s="511">
        <f t="shared" si="151"/>
        <v>0</v>
      </c>
      <c r="F1613" s="511">
        <f t="shared" si="144"/>
        <v>0</v>
      </c>
      <c r="G1613" s="469">
        <f t="shared" si="145"/>
        <v>0</v>
      </c>
      <c r="H1613" s="506">
        <f>+J1564*G1613+E1613</f>
        <v>0</v>
      </c>
      <c r="I1613" s="512">
        <f>+J1565*G1613+E1613</f>
        <v>0</v>
      </c>
      <c r="J1613" s="509">
        <f t="shared" si="146"/>
        <v>0</v>
      </c>
      <c r="K1613" s="509"/>
      <c r="L1613" s="513"/>
      <c r="M1613" s="509">
        <f t="shared" si="147"/>
        <v>0</v>
      </c>
      <c r="N1613" s="513"/>
      <c r="O1613" s="509">
        <f t="shared" si="148"/>
        <v>0</v>
      </c>
      <c r="P1613" s="509">
        <f t="shared" si="149"/>
        <v>0</v>
      </c>
      <c r="Q1613" s="471"/>
    </row>
    <row r="1614" spans="3:17">
      <c r="C1614" s="505">
        <f>IF(D1563="","-",+C1613+1)</f>
        <v>2060</v>
      </c>
      <c r="D1614" s="469">
        <f t="shared" si="150"/>
        <v>0</v>
      </c>
      <c r="E1614" s="511">
        <f t="shared" si="151"/>
        <v>0</v>
      </c>
      <c r="F1614" s="511">
        <f t="shared" si="144"/>
        <v>0</v>
      </c>
      <c r="G1614" s="469">
        <f t="shared" si="145"/>
        <v>0</v>
      </c>
      <c r="H1614" s="506">
        <f>+J1564*G1614+E1614</f>
        <v>0</v>
      </c>
      <c r="I1614" s="512">
        <f>+J1565*G1614+E1614</f>
        <v>0</v>
      </c>
      <c r="J1614" s="509">
        <f t="shared" si="146"/>
        <v>0</v>
      </c>
      <c r="K1614" s="509"/>
      <c r="L1614" s="513"/>
      <c r="M1614" s="509">
        <f t="shared" si="147"/>
        <v>0</v>
      </c>
      <c r="N1614" s="513"/>
      <c r="O1614" s="509">
        <f t="shared" si="148"/>
        <v>0</v>
      </c>
      <c r="P1614" s="509">
        <f t="shared" si="149"/>
        <v>0</v>
      </c>
      <c r="Q1614" s="471"/>
    </row>
    <row r="1615" spans="3:17">
      <c r="C1615" s="505">
        <f>IF(D1563="","-",+C1614+1)</f>
        <v>2061</v>
      </c>
      <c r="D1615" s="469">
        <f t="shared" si="150"/>
        <v>0</v>
      </c>
      <c r="E1615" s="511">
        <f t="shared" si="151"/>
        <v>0</v>
      </c>
      <c r="F1615" s="511">
        <f t="shared" si="144"/>
        <v>0</v>
      </c>
      <c r="G1615" s="469">
        <f t="shared" si="145"/>
        <v>0</v>
      </c>
      <c r="H1615" s="506">
        <f>+J1564*G1615+E1615</f>
        <v>0</v>
      </c>
      <c r="I1615" s="512">
        <f>+J1565*G1615+E1615</f>
        <v>0</v>
      </c>
      <c r="J1615" s="509">
        <f t="shared" si="146"/>
        <v>0</v>
      </c>
      <c r="K1615" s="509"/>
      <c r="L1615" s="513"/>
      <c r="M1615" s="509">
        <f t="shared" si="147"/>
        <v>0</v>
      </c>
      <c r="N1615" s="513"/>
      <c r="O1615" s="509">
        <f t="shared" si="148"/>
        <v>0</v>
      </c>
      <c r="P1615" s="509">
        <f t="shared" si="149"/>
        <v>0</v>
      </c>
      <c r="Q1615" s="471"/>
    </row>
    <row r="1616" spans="3:17">
      <c r="C1616" s="505">
        <f>IF(D1563="","-",+C1615+1)</f>
        <v>2062</v>
      </c>
      <c r="D1616" s="469">
        <f t="shared" si="150"/>
        <v>0</v>
      </c>
      <c r="E1616" s="511">
        <f t="shared" si="151"/>
        <v>0</v>
      </c>
      <c r="F1616" s="511">
        <f t="shared" si="144"/>
        <v>0</v>
      </c>
      <c r="G1616" s="469">
        <f t="shared" si="145"/>
        <v>0</v>
      </c>
      <c r="H1616" s="506">
        <f>+J1564*G1616+E1616</f>
        <v>0</v>
      </c>
      <c r="I1616" s="512">
        <f>+J1565*G1616+E1616</f>
        <v>0</v>
      </c>
      <c r="J1616" s="509">
        <f t="shared" si="146"/>
        <v>0</v>
      </c>
      <c r="K1616" s="509"/>
      <c r="L1616" s="513"/>
      <c r="M1616" s="509">
        <f t="shared" si="147"/>
        <v>0</v>
      </c>
      <c r="N1616" s="513"/>
      <c r="O1616" s="509">
        <f t="shared" si="148"/>
        <v>0</v>
      </c>
      <c r="P1616" s="509">
        <f t="shared" si="149"/>
        <v>0</v>
      </c>
      <c r="Q1616" s="471"/>
    </row>
    <row r="1617" spans="3:17">
      <c r="C1617" s="505">
        <f>IF(D1563="","-",+C1616+1)</f>
        <v>2063</v>
      </c>
      <c r="D1617" s="469">
        <f t="shared" si="150"/>
        <v>0</v>
      </c>
      <c r="E1617" s="511">
        <f t="shared" si="151"/>
        <v>0</v>
      </c>
      <c r="F1617" s="511">
        <f t="shared" si="144"/>
        <v>0</v>
      </c>
      <c r="G1617" s="469">
        <f t="shared" si="145"/>
        <v>0</v>
      </c>
      <c r="H1617" s="506">
        <f>+J1564*G1617+E1617</f>
        <v>0</v>
      </c>
      <c r="I1617" s="512">
        <f>+J1565*G1617+E1617</f>
        <v>0</v>
      </c>
      <c r="J1617" s="509">
        <f t="shared" si="146"/>
        <v>0</v>
      </c>
      <c r="K1617" s="509"/>
      <c r="L1617" s="513"/>
      <c r="M1617" s="509">
        <f t="shared" si="147"/>
        <v>0</v>
      </c>
      <c r="N1617" s="513"/>
      <c r="O1617" s="509">
        <f t="shared" si="148"/>
        <v>0</v>
      </c>
      <c r="P1617" s="509">
        <f t="shared" si="149"/>
        <v>0</v>
      </c>
      <c r="Q1617" s="471"/>
    </row>
    <row r="1618" spans="3:17">
      <c r="C1618" s="505">
        <f>IF(D1563="","-",+C1617+1)</f>
        <v>2064</v>
      </c>
      <c r="D1618" s="469">
        <f t="shared" si="150"/>
        <v>0</v>
      </c>
      <c r="E1618" s="511">
        <f t="shared" si="151"/>
        <v>0</v>
      </c>
      <c r="F1618" s="511">
        <f t="shared" si="144"/>
        <v>0</v>
      </c>
      <c r="G1618" s="469">
        <f t="shared" si="145"/>
        <v>0</v>
      </c>
      <c r="H1618" s="506">
        <f>+J1564*G1618+E1618</f>
        <v>0</v>
      </c>
      <c r="I1618" s="512">
        <f>+J1565*G1618+E1618</f>
        <v>0</v>
      </c>
      <c r="J1618" s="509">
        <f t="shared" si="146"/>
        <v>0</v>
      </c>
      <c r="K1618" s="509"/>
      <c r="L1618" s="513"/>
      <c r="M1618" s="509">
        <f t="shared" si="147"/>
        <v>0</v>
      </c>
      <c r="N1618" s="513"/>
      <c r="O1618" s="509">
        <f t="shared" si="148"/>
        <v>0</v>
      </c>
      <c r="P1618" s="509">
        <f t="shared" si="149"/>
        <v>0</v>
      </c>
      <c r="Q1618" s="471"/>
    </row>
    <row r="1619" spans="3:17">
      <c r="C1619" s="505">
        <f>IF(D1563="","-",+C1618+1)</f>
        <v>2065</v>
      </c>
      <c r="D1619" s="469">
        <f t="shared" si="150"/>
        <v>0</v>
      </c>
      <c r="E1619" s="511">
        <f t="shared" si="151"/>
        <v>0</v>
      </c>
      <c r="F1619" s="511">
        <f t="shared" si="144"/>
        <v>0</v>
      </c>
      <c r="G1619" s="469">
        <f t="shared" si="145"/>
        <v>0</v>
      </c>
      <c r="H1619" s="506">
        <f>+J1564*G1619+E1619</f>
        <v>0</v>
      </c>
      <c r="I1619" s="512">
        <f>+J1565*G1619+E1619</f>
        <v>0</v>
      </c>
      <c r="J1619" s="509">
        <f t="shared" si="146"/>
        <v>0</v>
      </c>
      <c r="K1619" s="509"/>
      <c r="L1619" s="513"/>
      <c r="M1619" s="509">
        <f t="shared" si="147"/>
        <v>0</v>
      </c>
      <c r="N1619" s="513"/>
      <c r="O1619" s="509">
        <f t="shared" si="148"/>
        <v>0</v>
      </c>
      <c r="P1619" s="509">
        <f t="shared" si="149"/>
        <v>0</v>
      </c>
      <c r="Q1619" s="471"/>
    </row>
    <row r="1620" spans="3:17">
      <c r="C1620" s="505">
        <f>IF(D1563="","-",+C1619+1)</f>
        <v>2066</v>
      </c>
      <c r="D1620" s="469">
        <f t="shared" si="150"/>
        <v>0</v>
      </c>
      <c r="E1620" s="511">
        <f t="shared" si="151"/>
        <v>0</v>
      </c>
      <c r="F1620" s="511">
        <f t="shared" si="144"/>
        <v>0</v>
      </c>
      <c r="G1620" s="469">
        <f t="shared" si="145"/>
        <v>0</v>
      </c>
      <c r="H1620" s="506">
        <f>+J1564*G1620+E1620</f>
        <v>0</v>
      </c>
      <c r="I1620" s="512">
        <f>+J1565*G1620+E1620</f>
        <v>0</v>
      </c>
      <c r="J1620" s="509">
        <f t="shared" si="146"/>
        <v>0</v>
      </c>
      <c r="K1620" s="509"/>
      <c r="L1620" s="513"/>
      <c r="M1620" s="509">
        <f t="shared" si="147"/>
        <v>0</v>
      </c>
      <c r="N1620" s="513"/>
      <c r="O1620" s="509">
        <f t="shared" si="148"/>
        <v>0</v>
      </c>
      <c r="P1620" s="509">
        <f t="shared" si="149"/>
        <v>0</v>
      </c>
      <c r="Q1620" s="471"/>
    </row>
    <row r="1621" spans="3:17">
      <c r="C1621" s="505">
        <f>IF(D1563="","-",+C1620+1)</f>
        <v>2067</v>
      </c>
      <c r="D1621" s="469">
        <f t="shared" si="150"/>
        <v>0</v>
      </c>
      <c r="E1621" s="511">
        <f t="shared" si="151"/>
        <v>0</v>
      </c>
      <c r="F1621" s="511">
        <f t="shared" si="144"/>
        <v>0</v>
      </c>
      <c r="G1621" s="469">
        <f t="shared" si="145"/>
        <v>0</v>
      </c>
      <c r="H1621" s="506">
        <f>+J1564*G1621+E1621</f>
        <v>0</v>
      </c>
      <c r="I1621" s="512">
        <f>+J1565*G1621+E1621</f>
        <v>0</v>
      </c>
      <c r="J1621" s="509">
        <f t="shared" si="146"/>
        <v>0</v>
      </c>
      <c r="K1621" s="509"/>
      <c r="L1621" s="513"/>
      <c r="M1621" s="509">
        <f t="shared" si="147"/>
        <v>0</v>
      </c>
      <c r="N1621" s="513"/>
      <c r="O1621" s="509">
        <f t="shared" si="148"/>
        <v>0</v>
      </c>
      <c r="P1621" s="509">
        <f t="shared" si="149"/>
        <v>0</v>
      </c>
      <c r="Q1621" s="471"/>
    </row>
    <row r="1622" spans="3:17">
      <c r="C1622" s="505">
        <f>IF(D1563="","-",+C1621+1)</f>
        <v>2068</v>
      </c>
      <c r="D1622" s="469">
        <f t="shared" si="150"/>
        <v>0</v>
      </c>
      <c r="E1622" s="511">
        <f t="shared" si="151"/>
        <v>0</v>
      </c>
      <c r="F1622" s="511">
        <f t="shared" si="144"/>
        <v>0</v>
      </c>
      <c r="G1622" s="469">
        <f t="shared" si="145"/>
        <v>0</v>
      </c>
      <c r="H1622" s="506">
        <f>+J1564*G1622+E1622</f>
        <v>0</v>
      </c>
      <c r="I1622" s="512">
        <f>+J1565*G1622+E1622</f>
        <v>0</v>
      </c>
      <c r="J1622" s="509">
        <f t="shared" si="146"/>
        <v>0</v>
      </c>
      <c r="K1622" s="509"/>
      <c r="L1622" s="513"/>
      <c r="M1622" s="509">
        <f t="shared" si="147"/>
        <v>0</v>
      </c>
      <c r="N1622" s="513"/>
      <c r="O1622" s="509">
        <f t="shared" si="148"/>
        <v>0</v>
      </c>
      <c r="P1622" s="509">
        <f t="shared" si="149"/>
        <v>0</v>
      </c>
      <c r="Q1622" s="471"/>
    </row>
    <row r="1623" spans="3:17">
      <c r="C1623" s="505">
        <f>IF(D1563="","-",+C1622+1)</f>
        <v>2069</v>
      </c>
      <c r="D1623" s="469">
        <f t="shared" si="150"/>
        <v>0</v>
      </c>
      <c r="E1623" s="511">
        <f t="shared" si="151"/>
        <v>0</v>
      </c>
      <c r="F1623" s="511">
        <f t="shared" si="144"/>
        <v>0</v>
      </c>
      <c r="G1623" s="469">
        <f t="shared" si="145"/>
        <v>0</v>
      </c>
      <c r="H1623" s="506">
        <f>+J1564*G1623+E1623</f>
        <v>0</v>
      </c>
      <c r="I1623" s="512">
        <f>+J1565*G1623+E1623</f>
        <v>0</v>
      </c>
      <c r="J1623" s="509">
        <f t="shared" si="146"/>
        <v>0</v>
      </c>
      <c r="K1623" s="509"/>
      <c r="L1623" s="513"/>
      <c r="M1623" s="509">
        <f t="shared" si="147"/>
        <v>0</v>
      </c>
      <c r="N1623" s="513"/>
      <c r="O1623" s="509">
        <f t="shared" si="148"/>
        <v>0</v>
      </c>
      <c r="P1623" s="509">
        <f t="shared" si="149"/>
        <v>0</v>
      </c>
      <c r="Q1623" s="471"/>
    </row>
    <row r="1624" spans="3:17">
      <c r="C1624" s="505">
        <f>IF(D1563="","-",+C1623+1)</f>
        <v>2070</v>
      </c>
      <c r="D1624" s="469">
        <f t="shared" si="150"/>
        <v>0</v>
      </c>
      <c r="E1624" s="511">
        <f t="shared" si="151"/>
        <v>0</v>
      </c>
      <c r="F1624" s="511">
        <f t="shared" si="144"/>
        <v>0</v>
      </c>
      <c r="G1624" s="469">
        <f t="shared" si="145"/>
        <v>0</v>
      </c>
      <c r="H1624" s="506">
        <f>+J1564*G1624+E1624</f>
        <v>0</v>
      </c>
      <c r="I1624" s="512">
        <f>+J1565*G1624+E1624</f>
        <v>0</v>
      </c>
      <c r="J1624" s="509">
        <f t="shared" si="146"/>
        <v>0</v>
      </c>
      <c r="K1624" s="509"/>
      <c r="L1624" s="513"/>
      <c r="M1624" s="509">
        <f t="shared" si="147"/>
        <v>0</v>
      </c>
      <c r="N1624" s="513"/>
      <c r="O1624" s="509">
        <f t="shared" si="148"/>
        <v>0</v>
      </c>
      <c r="P1624" s="509">
        <f t="shared" si="149"/>
        <v>0</v>
      </c>
      <c r="Q1624" s="471"/>
    </row>
    <row r="1625" spans="3:17">
      <c r="C1625" s="505">
        <f>IF(D1563="","-",+C1624+1)</f>
        <v>2071</v>
      </c>
      <c r="D1625" s="469">
        <f t="shared" si="150"/>
        <v>0</v>
      </c>
      <c r="E1625" s="511">
        <f t="shared" si="151"/>
        <v>0</v>
      </c>
      <c r="F1625" s="511">
        <f t="shared" si="144"/>
        <v>0</v>
      </c>
      <c r="G1625" s="469">
        <f t="shared" si="145"/>
        <v>0</v>
      </c>
      <c r="H1625" s="506">
        <f>+J1564*G1625+E1625</f>
        <v>0</v>
      </c>
      <c r="I1625" s="512">
        <f>+J1565*G1625+E1625</f>
        <v>0</v>
      </c>
      <c r="J1625" s="509">
        <f t="shared" si="146"/>
        <v>0</v>
      </c>
      <c r="K1625" s="509"/>
      <c r="L1625" s="513"/>
      <c r="M1625" s="509">
        <f t="shared" si="147"/>
        <v>0</v>
      </c>
      <c r="N1625" s="513"/>
      <c r="O1625" s="509">
        <f t="shared" si="148"/>
        <v>0</v>
      </c>
      <c r="P1625" s="509">
        <f t="shared" si="149"/>
        <v>0</v>
      </c>
      <c r="Q1625" s="471"/>
    </row>
    <row r="1626" spans="3:17">
      <c r="C1626" s="505">
        <f>IF(D1563="","-",+C1625+1)</f>
        <v>2072</v>
      </c>
      <c r="D1626" s="469">
        <f t="shared" si="150"/>
        <v>0</v>
      </c>
      <c r="E1626" s="511">
        <f t="shared" si="151"/>
        <v>0</v>
      </c>
      <c r="F1626" s="511">
        <f t="shared" si="144"/>
        <v>0</v>
      </c>
      <c r="G1626" s="469">
        <f t="shared" si="145"/>
        <v>0</v>
      </c>
      <c r="H1626" s="506">
        <f>+J1564*G1626+E1626</f>
        <v>0</v>
      </c>
      <c r="I1626" s="512">
        <f>+J1565*G1626+E1626</f>
        <v>0</v>
      </c>
      <c r="J1626" s="509">
        <f t="shared" si="146"/>
        <v>0</v>
      </c>
      <c r="K1626" s="509"/>
      <c r="L1626" s="513"/>
      <c r="M1626" s="509">
        <f t="shared" si="147"/>
        <v>0</v>
      </c>
      <c r="N1626" s="513"/>
      <c r="O1626" s="509">
        <f t="shared" si="148"/>
        <v>0</v>
      </c>
      <c r="P1626" s="509">
        <f t="shared" si="149"/>
        <v>0</v>
      </c>
      <c r="Q1626" s="471"/>
    </row>
    <row r="1627" spans="3:17">
      <c r="C1627" s="505">
        <f>IF(D1563="","-",+C1626+1)</f>
        <v>2073</v>
      </c>
      <c r="D1627" s="469">
        <f t="shared" si="150"/>
        <v>0</v>
      </c>
      <c r="E1627" s="511">
        <f t="shared" si="151"/>
        <v>0</v>
      </c>
      <c r="F1627" s="511">
        <f t="shared" si="144"/>
        <v>0</v>
      </c>
      <c r="G1627" s="469">
        <f t="shared" si="145"/>
        <v>0</v>
      </c>
      <c r="H1627" s="506">
        <f>+J1564*G1627+E1627</f>
        <v>0</v>
      </c>
      <c r="I1627" s="512">
        <f>+J1565*G1627+E1627</f>
        <v>0</v>
      </c>
      <c r="J1627" s="509">
        <f t="shared" si="146"/>
        <v>0</v>
      </c>
      <c r="K1627" s="509"/>
      <c r="L1627" s="513"/>
      <c r="M1627" s="509">
        <f t="shared" si="147"/>
        <v>0</v>
      </c>
      <c r="N1627" s="513"/>
      <c r="O1627" s="509">
        <f t="shared" si="148"/>
        <v>0</v>
      </c>
      <c r="P1627" s="509">
        <f t="shared" si="149"/>
        <v>0</v>
      </c>
      <c r="Q1627" s="471"/>
    </row>
    <row r="1628" spans="3:17" ht="13.5" thickBot="1">
      <c r="C1628" s="515">
        <f>IF(D1563="","-",+C1627+1)</f>
        <v>2074</v>
      </c>
      <c r="D1628" s="516">
        <f t="shared" si="150"/>
        <v>0</v>
      </c>
      <c r="E1628" s="976">
        <f t="shared" si="151"/>
        <v>0</v>
      </c>
      <c r="F1628" s="517">
        <f t="shared" si="144"/>
        <v>0</v>
      </c>
      <c r="G1628" s="516">
        <f t="shared" si="145"/>
        <v>0</v>
      </c>
      <c r="H1628" s="518">
        <f>+J1564*G1628+E1628</f>
        <v>0</v>
      </c>
      <c r="I1628" s="518">
        <f>+J1565*G1628+E1628</f>
        <v>0</v>
      </c>
      <c r="J1628" s="519">
        <f t="shared" si="146"/>
        <v>0</v>
      </c>
      <c r="K1628" s="509"/>
      <c r="L1628" s="520"/>
      <c r="M1628" s="519">
        <f t="shared" si="147"/>
        <v>0</v>
      </c>
      <c r="N1628" s="520"/>
      <c r="O1628" s="519">
        <f t="shared" si="148"/>
        <v>0</v>
      </c>
      <c r="P1628" s="519">
        <f t="shared" si="149"/>
        <v>0</v>
      </c>
      <c r="Q1628" s="471"/>
    </row>
    <row r="1629" spans="3:17">
      <c r="C1629" s="469" t="s">
        <v>288</v>
      </c>
      <c r="D1629" s="467"/>
      <c r="E1629" s="467">
        <f>SUM(E1569:E1628)</f>
        <v>6094421.0100000016</v>
      </c>
      <c r="F1629" s="467"/>
      <c r="G1629" s="467"/>
      <c r="H1629" s="467">
        <f>SUM(H1569:H1628)</f>
        <v>25668345.619050998</v>
      </c>
      <c r="I1629" s="467">
        <f>SUM(I1569:I1628)</f>
        <v>25668345.619050998</v>
      </c>
      <c r="J1629" s="467">
        <f>SUM(J1569:J1628)</f>
        <v>0</v>
      </c>
      <c r="K1629" s="467"/>
      <c r="L1629" s="467"/>
      <c r="M1629" s="467"/>
      <c r="N1629" s="467"/>
      <c r="O1629" s="467"/>
      <c r="Q1629" s="467"/>
    </row>
    <row r="1630" spans="3:17">
      <c r="D1630" s="79"/>
      <c r="E1630" s="4"/>
      <c r="F1630" s="4"/>
      <c r="G1630" s="4"/>
      <c r="H1630" s="4"/>
      <c r="I1630" s="452"/>
      <c r="J1630" s="452"/>
      <c r="K1630" s="467"/>
      <c r="L1630" s="452"/>
      <c r="M1630" s="452"/>
      <c r="N1630" s="452"/>
      <c r="O1630" s="452"/>
      <c r="Q1630" s="467"/>
    </row>
    <row r="1631" spans="3:17">
      <c r="C1631" s="4" t="s">
        <v>595</v>
      </c>
      <c r="D1631" s="79"/>
      <c r="E1631" s="4"/>
      <c r="F1631" s="4"/>
      <c r="G1631" s="4"/>
      <c r="H1631" s="4"/>
      <c r="I1631" s="452"/>
      <c r="J1631" s="452"/>
      <c r="K1631" s="467"/>
      <c r="L1631" s="452"/>
      <c r="M1631" s="452"/>
      <c r="N1631" s="452"/>
      <c r="O1631" s="452"/>
      <c r="Q1631" s="467"/>
    </row>
    <row r="1632" spans="3:17">
      <c r="D1632" s="79"/>
      <c r="E1632" s="4"/>
      <c r="F1632" s="4"/>
      <c r="G1632" s="4"/>
      <c r="H1632" s="4"/>
      <c r="I1632" s="452"/>
      <c r="J1632" s="452"/>
      <c r="K1632" s="467"/>
      <c r="L1632" s="452"/>
      <c r="M1632" s="452"/>
      <c r="N1632" s="452"/>
      <c r="O1632" s="452"/>
      <c r="Q1632" s="467"/>
    </row>
    <row r="1633" spans="1:17">
      <c r="C1633" s="4" t="s">
        <v>596</v>
      </c>
      <c r="D1633" s="469"/>
      <c r="E1633" s="469"/>
      <c r="F1633" s="469"/>
      <c r="G1633" s="469"/>
      <c r="H1633" s="467"/>
      <c r="I1633" s="467"/>
      <c r="J1633" s="471"/>
      <c r="K1633" s="471"/>
      <c r="L1633" s="471"/>
      <c r="M1633" s="471"/>
      <c r="N1633" s="471"/>
      <c r="O1633" s="471"/>
      <c r="Q1633" s="471"/>
    </row>
    <row r="1634" spans="1:17">
      <c r="C1634" s="4" t="s">
        <v>476</v>
      </c>
      <c r="D1634" s="469"/>
      <c r="E1634" s="469"/>
      <c r="F1634" s="469"/>
      <c r="G1634" s="469"/>
      <c r="H1634" s="467"/>
      <c r="I1634" s="467"/>
      <c r="J1634" s="471"/>
      <c r="K1634" s="471"/>
      <c r="L1634" s="471"/>
      <c r="M1634" s="471"/>
      <c r="N1634" s="471"/>
      <c r="O1634" s="471"/>
      <c r="Q1634" s="471"/>
    </row>
    <row r="1635" spans="1:17">
      <c r="C1635" s="4" t="s">
        <v>289</v>
      </c>
      <c r="D1635" s="469"/>
      <c r="E1635" s="469"/>
      <c r="F1635" s="469"/>
      <c r="G1635" s="469"/>
      <c r="H1635" s="467"/>
      <c r="I1635" s="467"/>
      <c r="J1635" s="471"/>
      <c r="K1635" s="471"/>
      <c r="L1635" s="471"/>
      <c r="M1635" s="471"/>
      <c r="N1635" s="471"/>
      <c r="O1635" s="471"/>
      <c r="Q1635" s="471"/>
    </row>
    <row r="1636" spans="1:17" ht="20.25">
      <c r="A1636" s="411" t="s">
        <v>762</v>
      </c>
      <c r="B1636" s="4"/>
      <c r="C1636" s="4"/>
      <c r="D1636" s="79"/>
      <c r="E1636" s="4"/>
      <c r="F1636" s="81"/>
      <c r="G1636" s="81"/>
      <c r="H1636" s="4"/>
      <c r="I1636" s="452"/>
      <c r="L1636" s="11"/>
      <c r="M1636" s="11"/>
      <c r="N1636" s="11"/>
      <c r="O1636" s="11" t="str">
        <f>"Page "&amp;SUM(Q$3:Q1636)&amp;" of "</f>
        <v xml:space="preserve">Page 20 of </v>
      </c>
      <c r="P1636" s="412">
        <f>COUNT(Q$8:Q$58212)</f>
        <v>23</v>
      </c>
      <c r="Q1636" s="539">
        <v>1</v>
      </c>
    </row>
    <row r="1637" spans="1:17">
      <c r="B1637" s="4"/>
      <c r="C1637" s="4"/>
      <c r="D1637" s="79"/>
      <c r="E1637" s="4"/>
      <c r="F1637" s="4"/>
      <c r="G1637" s="4"/>
      <c r="H1637" s="4"/>
      <c r="I1637" s="452"/>
      <c r="J1637" s="4"/>
      <c r="K1637" s="4"/>
    </row>
    <row r="1638" spans="1:17" ht="18">
      <c r="B1638" s="413" t="s">
        <v>174</v>
      </c>
      <c r="C1638" s="472" t="s">
        <v>290</v>
      </c>
      <c r="D1638" s="79"/>
      <c r="E1638" s="4"/>
      <c r="F1638" s="4"/>
      <c r="G1638" s="4"/>
      <c r="H1638" s="4"/>
      <c r="I1638" s="452"/>
      <c r="J1638" s="452"/>
      <c r="K1638" s="467"/>
      <c r="L1638" s="452"/>
      <c r="M1638" s="452"/>
      <c r="N1638" s="452"/>
      <c r="O1638" s="452"/>
      <c r="Q1638" s="467"/>
    </row>
    <row r="1639" spans="1:17" ht="18.75">
      <c r="B1639" s="413"/>
      <c r="C1639" s="13"/>
      <c r="D1639" s="79"/>
      <c r="E1639" s="4"/>
      <c r="F1639" s="4"/>
      <c r="G1639" s="4"/>
      <c r="H1639" s="4"/>
      <c r="I1639" s="452"/>
      <c r="J1639" s="452"/>
      <c r="K1639" s="467"/>
      <c r="L1639" s="452"/>
      <c r="M1639" s="452"/>
      <c r="N1639" s="452"/>
      <c r="O1639" s="452"/>
      <c r="Q1639" s="467"/>
    </row>
    <row r="1640" spans="1:17" ht="18.75">
      <c r="B1640" s="413"/>
      <c r="C1640" s="13" t="s">
        <v>291</v>
      </c>
      <c r="D1640" s="79"/>
      <c r="E1640" s="4"/>
      <c r="F1640" s="4"/>
      <c r="G1640" s="4"/>
      <c r="H1640" s="4"/>
      <c r="I1640" s="452"/>
      <c r="J1640" s="452"/>
      <c r="K1640" s="467"/>
      <c r="L1640" s="452"/>
      <c r="M1640" s="452"/>
      <c r="N1640" s="452"/>
      <c r="O1640" s="452"/>
      <c r="Q1640" s="467"/>
    </row>
    <row r="1641" spans="1:17" ht="15.75" thickBot="1">
      <c r="C1641" s="247"/>
      <c r="D1641" s="79"/>
      <c r="E1641" s="4"/>
      <c r="F1641" s="4"/>
      <c r="G1641" s="4"/>
      <c r="H1641" s="4"/>
      <c r="I1641" s="452"/>
      <c r="J1641" s="452"/>
      <c r="K1641" s="467"/>
      <c r="L1641" s="452"/>
      <c r="M1641" s="452"/>
      <c r="N1641" s="452"/>
      <c r="O1641" s="452"/>
      <c r="Q1641" s="467"/>
    </row>
    <row r="1642" spans="1:17" ht="15.75">
      <c r="C1642" s="414" t="s">
        <v>292</v>
      </c>
      <c r="D1642" s="79"/>
      <c r="E1642" s="4"/>
      <c r="F1642" s="4"/>
      <c r="G1642" s="4"/>
      <c r="H1642" s="635"/>
      <c r="I1642" s="4" t="s">
        <v>271</v>
      </c>
      <c r="J1642" s="4"/>
      <c r="K1642" s="4"/>
      <c r="L1642" s="540">
        <f>+J1648</f>
        <v>2025</v>
      </c>
      <c r="M1642" s="524" t="s">
        <v>254</v>
      </c>
      <c r="N1642" s="524" t="s">
        <v>255</v>
      </c>
      <c r="O1642" s="525" t="s">
        <v>256</v>
      </c>
    </row>
    <row r="1643" spans="1:17" ht="15.75">
      <c r="C1643" s="414"/>
      <c r="D1643" s="79"/>
      <c r="E1643" s="4"/>
      <c r="F1643" s="4"/>
      <c r="H1643" s="4"/>
      <c r="I1643" s="476"/>
      <c r="J1643" s="476"/>
      <c r="K1643" s="477"/>
      <c r="L1643" s="541" t="s">
        <v>455</v>
      </c>
      <c r="M1643" s="542">
        <f>VLOOKUP(J1648,C1655:P1714,10)</f>
        <v>0</v>
      </c>
      <c r="N1643" s="542">
        <f>VLOOKUP(J1648,C1655:P1714,12)</f>
        <v>0</v>
      </c>
      <c r="O1643" s="543">
        <f>+N1643-M1643</f>
        <v>0</v>
      </c>
      <c r="Q1643" s="477"/>
    </row>
    <row r="1644" spans="1:17">
      <c r="C1644" s="479" t="s">
        <v>293</v>
      </c>
      <c r="D1644" s="1276" t="s">
        <v>954</v>
      </c>
      <c r="E1644" s="1276"/>
      <c r="F1644" s="1276"/>
      <c r="G1644" s="1288"/>
      <c r="H1644" s="1288"/>
      <c r="I1644" s="1288"/>
      <c r="J1644" s="452"/>
      <c r="K1644" s="467"/>
      <c r="L1644" s="541" t="s">
        <v>456</v>
      </c>
      <c r="M1644" s="544">
        <f>VLOOKUP(J1648,C1655:P1714,6)</f>
        <v>0</v>
      </c>
      <c r="N1644" s="544">
        <f>VLOOKUP(J1648,C1655:P1714,7)</f>
        <v>0</v>
      </c>
      <c r="O1644" s="545">
        <f>+N1644-M1644</f>
        <v>0</v>
      </c>
      <c r="Q1644" s="467"/>
    </row>
    <row r="1645" spans="1:17" ht="13.5" thickBot="1">
      <c r="C1645" s="481"/>
      <c r="D1645" s="4" t="s">
        <v>114</v>
      </c>
      <c r="E1645" s="483"/>
      <c r="F1645" s="483"/>
      <c r="G1645" s="483"/>
      <c r="H1645" s="483"/>
      <c r="I1645" s="483"/>
      <c r="J1645" s="452"/>
      <c r="K1645" s="467"/>
      <c r="L1645" s="492" t="s">
        <v>457</v>
      </c>
      <c r="M1645" s="546">
        <f>+M1644-M1643</f>
        <v>0</v>
      </c>
      <c r="N1645" s="546">
        <f>+N1644-N1643</f>
        <v>0</v>
      </c>
      <c r="O1645" s="547">
        <f>+O1644-O1643</f>
        <v>0</v>
      </c>
      <c r="Q1645" s="467"/>
    </row>
    <row r="1646" spans="1:17" ht="13.5" thickBot="1">
      <c r="C1646" s="481"/>
      <c r="D1646" s="4"/>
      <c r="E1646" s="483"/>
      <c r="F1646" s="483"/>
      <c r="G1646" s="483"/>
      <c r="H1646" s="483"/>
      <c r="I1646" s="483"/>
      <c r="J1646" s="483"/>
      <c r="K1646" s="483"/>
      <c r="L1646" s="483"/>
      <c r="M1646" s="483"/>
      <c r="N1646" s="483"/>
      <c r="O1646" s="483"/>
      <c r="Q1646" s="483"/>
    </row>
    <row r="1647" spans="1:17" ht="13.5" thickBot="1">
      <c r="C1647" s="484" t="s">
        <v>294</v>
      </c>
      <c r="D1647" s="485"/>
      <c r="E1647" s="485"/>
      <c r="F1647" s="485"/>
      <c r="G1647" s="485"/>
      <c r="H1647" s="485"/>
      <c r="I1647" s="485"/>
      <c r="J1647" s="485"/>
      <c r="Q1647"/>
    </row>
    <row r="1648" spans="1:17" ht="15">
      <c r="A1648" s="977"/>
      <c r="C1648" s="487" t="s">
        <v>272</v>
      </c>
      <c r="D1648" s="926">
        <v>0</v>
      </c>
      <c r="E1648" s="4" t="s">
        <v>273</v>
      </c>
      <c r="H1648" s="79"/>
      <c r="I1648" s="79"/>
      <c r="J1648" s="488">
        <f>$J$95</f>
        <v>2025</v>
      </c>
      <c r="K1648" s="135"/>
      <c r="L1648" s="1287" t="s">
        <v>274</v>
      </c>
      <c r="M1648" s="1287"/>
      <c r="N1648" s="1287"/>
      <c r="O1648" s="1287"/>
      <c r="Q1648" s="135"/>
    </row>
    <row r="1649" spans="1:17">
      <c r="A1649" s="977"/>
      <c r="C1649" s="487" t="s">
        <v>275</v>
      </c>
      <c r="D1649" s="636">
        <v>2015</v>
      </c>
      <c r="E1649" s="487" t="s">
        <v>276</v>
      </c>
      <c r="F1649" s="79"/>
      <c r="G1649" s="79"/>
      <c r="I1649"/>
      <c r="J1649" s="638">
        <v>0</v>
      </c>
      <c r="K1649" s="489"/>
      <c r="L1649" s="467" t="s">
        <v>475</v>
      </c>
      <c r="Q1649" s="489"/>
    </row>
    <row r="1650" spans="1:17">
      <c r="A1650" s="977"/>
      <c r="C1650" s="487" t="s">
        <v>277</v>
      </c>
      <c r="D1650" s="926">
        <v>6</v>
      </c>
      <c r="E1650" s="487" t="s">
        <v>278</v>
      </c>
      <c r="F1650" s="79"/>
      <c r="G1650" s="79"/>
      <c r="I1650"/>
      <c r="J1650" s="490">
        <f>$F$70</f>
        <v>0.14996626714737105</v>
      </c>
      <c r="K1650" s="81"/>
      <c r="L1650" s="4" t="str">
        <f>"          INPUT TRUE-UP ARR (WITH &amp; WITHOUT INCENTIVES) FROM EACH PRIOR YEAR"</f>
        <v xml:space="preserve">          INPUT TRUE-UP ARR (WITH &amp; WITHOUT INCENTIVES) FROM EACH PRIOR YEAR</v>
      </c>
      <c r="Q1650" s="81"/>
    </row>
    <row r="1651" spans="1:17">
      <c r="A1651" s="977"/>
      <c r="C1651" s="487" t="s">
        <v>279</v>
      </c>
      <c r="D1651" s="491">
        <f>H79</f>
        <v>42</v>
      </c>
      <c r="E1651" s="487" t="s">
        <v>280</v>
      </c>
      <c r="F1651" s="79"/>
      <c r="G1651" s="79"/>
      <c r="I1651"/>
      <c r="J1651" s="490">
        <f>IF(H1642="",J1650,$F$69)</f>
        <v>0.14996626714737105</v>
      </c>
      <c r="K1651" s="81"/>
      <c r="L1651" s="4" t="s">
        <v>362</v>
      </c>
      <c r="M1651" s="81"/>
      <c r="N1651" s="81"/>
      <c r="O1651" s="81"/>
      <c r="Q1651" s="81"/>
    </row>
    <row r="1652" spans="1:17" ht="13.5" thickBot="1">
      <c r="A1652" s="977"/>
      <c r="C1652" s="487" t="s">
        <v>281</v>
      </c>
      <c r="D1652" s="983" t="s">
        <v>923</v>
      </c>
      <c r="E1652" s="492" t="s">
        <v>282</v>
      </c>
      <c r="F1652" s="493"/>
      <c r="G1652" s="493"/>
      <c r="H1652" s="494"/>
      <c r="I1652" s="494"/>
      <c r="J1652" s="480">
        <f>IF(D1648=0,0,D1648/D1651)</f>
        <v>0</v>
      </c>
      <c r="K1652" s="467"/>
      <c r="L1652" s="467" t="s">
        <v>363</v>
      </c>
      <c r="M1652" s="467"/>
      <c r="N1652" s="467"/>
      <c r="O1652" s="467"/>
      <c r="Q1652" s="467"/>
    </row>
    <row r="1653" spans="1:17" ht="38.25">
      <c r="A1653" s="12"/>
      <c r="B1653" s="12"/>
      <c r="C1653" s="495" t="s">
        <v>272</v>
      </c>
      <c r="D1653" s="496" t="s">
        <v>283</v>
      </c>
      <c r="E1653" s="497" t="s">
        <v>284</v>
      </c>
      <c r="F1653" s="496" t="s">
        <v>285</v>
      </c>
      <c r="G1653" s="496" t="s">
        <v>458</v>
      </c>
      <c r="H1653" s="497" t="s">
        <v>356</v>
      </c>
      <c r="I1653" s="498" t="s">
        <v>356</v>
      </c>
      <c r="J1653" s="495" t="s">
        <v>295</v>
      </c>
      <c r="K1653" s="499"/>
      <c r="L1653" s="497" t="s">
        <v>358</v>
      </c>
      <c r="M1653" s="497" t="s">
        <v>364</v>
      </c>
      <c r="N1653" s="497" t="s">
        <v>358</v>
      </c>
      <c r="O1653" s="497" t="s">
        <v>366</v>
      </c>
      <c r="P1653" s="497" t="s">
        <v>286</v>
      </c>
      <c r="Q1653" s="128"/>
    </row>
    <row r="1654" spans="1:17" ht="13.5" thickBot="1">
      <c r="C1654" s="500" t="s">
        <v>177</v>
      </c>
      <c r="D1654" s="501" t="s">
        <v>178</v>
      </c>
      <c r="E1654" s="500" t="s">
        <v>37</v>
      </c>
      <c r="F1654" s="501" t="s">
        <v>178</v>
      </c>
      <c r="G1654" s="501" t="s">
        <v>178</v>
      </c>
      <c r="H1654" s="502" t="s">
        <v>298</v>
      </c>
      <c r="I1654" s="503" t="s">
        <v>300</v>
      </c>
      <c r="J1654" s="500" t="s">
        <v>389</v>
      </c>
      <c r="K1654" s="504"/>
      <c r="L1654" s="502" t="s">
        <v>287</v>
      </c>
      <c r="M1654" s="502" t="s">
        <v>287</v>
      </c>
      <c r="N1654" s="502" t="s">
        <v>467</v>
      </c>
      <c r="O1654" s="502" t="s">
        <v>467</v>
      </c>
      <c r="P1654" s="502" t="s">
        <v>467</v>
      </c>
      <c r="Q1654" s="135"/>
    </row>
    <row r="1655" spans="1:17">
      <c r="C1655" s="505">
        <f>IF(D1649= "","-",D1649)</f>
        <v>2015</v>
      </c>
      <c r="D1655" s="469">
        <f>+D1648</f>
        <v>0</v>
      </c>
      <c r="E1655" s="506">
        <f>+J1652/12*(12-D1650)</f>
        <v>0</v>
      </c>
      <c r="F1655" s="548">
        <f t="shared" ref="F1655:F1714" si="152">+D1655-E1655</f>
        <v>0</v>
      </c>
      <c r="G1655" s="469">
        <f t="shared" ref="G1655:G1714" si="153">+(D1655+F1655)/2</f>
        <v>0</v>
      </c>
      <c r="H1655" s="507">
        <f>+J1650*G1655+E1655</f>
        <v>0</v>
      </c>
      <c r="I1655" s="508">
        <f>+J1651*G1655+E1655</f>
        <v>0</v>
      </c>
      <c r="J1655" s="509">
        <f t="shared" ref="J1655:J1714" si="154">+I1655-H1655</f>
        <v>0</v>
      </c>
      <c r="K1655" s="509"/>
      <c r="L1655" s="513">
        <v>0</v>
      </c>
      <c r="M1655" s="549">
        <f t="shared" ref="M1655:M1714" si="155">IF(L1655&lt;&gt;0,+H1655-L1655,0)</f>
        <v>0</v>
      </c>
      <c r="N1655" s="513">
        <v>0</v>
      </c>
      <c r="O1655" s="549">
        <f t="shared" ref="O1655:O1714" si="156">IF(N1655&lt;&gt;0,+I1655-N1655,0)</f>
        <v>0</v>
      </c>
      <c r="P1655" s="549">
        <f t="shared" ref="P1655:P1714" si="157">+O1655-M1655</f>
        <v>0</v>
      </c>
      <c r="Q1655" s="471"/>
    </row>
    <row r="1656" spans="1:17">
      <c r="C1656" s="505">
        <f>IF(D1649="","-",+C1655+1)</f>
        <v>2016</v>
      </c>
      <c r="D1656" s="469">
        <f t="shared" ref="D1656:D1714" si="158">F1655</f>
        <v>0</v>
      </c>
      <c r="E1656" s="511">
        <f>IF(D1656&gt;$J$1566,$J$1566,D1656)</f>
        <v>0</v>
      </c>
      <c r="F1656" s="511">
        <f t="shared" si="152"/>
        <v>0</v>
      </c>
      <c r="G1656" s="469">
        <f t="shared" si="153"/>
        <v>0</v>
      </c>
      <c r="H1656" s="506">
        <f>+J1650*G1656+E1656</f>
        <v>0</v>
      </c>
      <c r="I1656" s="512">
        <f>+J1651*G1656+E1656</f>
        <v>0</v>
      </c>
      <c r="J1656" s="509">
        <f t="shared" si="154"/>
        <v>0</v>
      </c>
      <c r="K1656" s="509"/>
      <c r="L1656" s="513">
        <v>935319</v>
      </c>
      <c r="M1656" s="509">
        <f t="shared" si="155"/>
        <v>-935319</v>
      </c>
      <c r="N1656" s="513">
        <v>935319</v>
      </c>
      <c r="O1656" s="509">
        <f t="shared" si="156"/>
        <v>-935319</v>
      </c>
      <c r="P1656" s="509">
        <f t="shared" si="157"/>
        <v>0</v>
      </c>
      <c r="Q1656" s="471"/>
    </row>
    <row r="1657" spans="1:17">
      <c r="C1657" s="505">
        <f>IF(D1649="","-",+C1656+1)</f>
        <v>2017</v>
      </c>
      <c r="D1657" s="469">
        <f t="shared" si="158"/>
        <v>0</v>
      </c>
      <c r="E1657" s="511">
        <f t="shared" ref="E1657:E1714" si="159">IF(D1657&gt;$J$1566,$J$1566,D1657)</f>
        <v>0</v>
      </c>
      <c r="F1657" s="511">
        <f t="shared" si="152"/>
        <v>0</v>
      </c>
      <c r="G1657" s="469">
        <f t="shared" si="153"/>
        <v>0</v>
      </c>
      <c r="H1657" s="506">
        <f>+J1650*G1657+E1657</f>
        <v>0</v>
      </c>
      <c r="I1657" s="512">
        <f>+J1651*G1657+E1657</f>
        <v>0</v>
      </c>
      <c r="J1657" s="509">
        <f t="shared" si="154"/>
        <v>0</v>
      </c>
      <c r="K1657" s="509"/>
      <c r="L1657" s="513">
        <v>1027649</v>
      </c>
      <c r="M1657" s="509">
        <f t="shared" si="155"/>
        <v>-1027649</v>
      </c>
      <c r="N1657" s="513">
        <v>1027649</v>
      </c>
      <c r="O1657" s="509">
        <f t="shared" si="156"/>
        <v>-1027649</v>
      </c>
      <c r="P1657" s="509">
        <f t="shared" si="157"/>
        <v>0</v>
      </c>
      <c r="Q1657" s="471"/>
    </row>
    <row r="1658" spans="1:17">
      <c r="C1658" s="505">
        <f>IF(D1649="","-",+C1657+1)</f>
        <v>2018</v>
      </c>
      <c r="D1658" s="469">
        <f t="shared" si="158"/>
        <v>0</v>
      </c>
      <c r="E1658" s="511">
        <f t="shared" si="159"/>
        <v>0</v>
      </c>
      <c r="F1658" s="511">
        <f t="shared" si="152"/>
        <v>0</v>
      </c>
      <c r="G1658" s="469">
        <f t="shared" si="153"/>
        <v>0</v>
      </c>
      <c r="H1658" s="506">
        <f>+J1650*G1658+E1658</f>
        <v>0</v>
      </c>
      <c r="I1658" s="512">
        <f>+J1651*G1658+E1658</f>
        <v>0</v>
      </c>
      <c r="J1658" s="509">
        <f t="shared" si="154"/>
        <v>0</v>
      </c>
      <c r="K1658" s="509"/>
      <c r="L1658" s="513">
        <v>0</v>
      </c>
      <c r="M1658" s="509">
        <f t="shared" si="155"/>
        <v>0</v>
      </c>
      <c r="N1658" s="513">
        <v>0</v>
      </c>
      <c r="O1658" s="509">
        <f t="shared" si="156"/>
        <v>0</v>
      </c>
      <c r="P1658" s="509">
        <f t="shared" si="157"/>
        <v>0</v>
      </c>
      <c r="Q1658" s="471"/>
    </row>
    <row r="1659" spans="1:17">
      <c r="C1659" s="505">
        <f>IF(D1649="","-",+C1658+1)</f>
        <v>2019</v>
      </c>
      <c r="D1659" s="941">
        <f t="shared" si="158"/>
        <v>0</v>
      </c>
      <c r="E1659" s="511">
        <f t="shared" si="159"/>
        <v>0</v>
      </c>
      <c r="F1659" s="511">
        <f t="shared" si="152"/>
        <v>0</v>
      </c>
      <c r="G1659" s="469">
        <f t="shared" si="153"/>
        <v>0</v>
      </c>
      <c r="H1659" s="506">
        <f>+J1650*G1659+E1659</f>
        <v>0</v>
      </c>
      <c r="I1659" s="512">
        <f>+J1651*G1659+E1659</f>
        <v>0</v>
      </c>
      <c r="J1659" s="509">
        <f t="shared" si="154"/>
        <v>0</v>
      </c>
      <c r="K1659" s="509"/>
      <c r="L1659" s="513">
        <v>0</v>
      </c>
      <c r="M1659" s="509">
        <f t="shared" si="155"/>
        <v>0</v>
      </c>
      <c r="N1659" s="513">
        <v>0</v>
      </c>
      <c r="O1659" s="509">
        <f t="shared" si="156"/>
        <v>0</v>
      </c>
      <c r="P1659" s="509">
        <f t="shared" si="157"/>
        <v>0</v>
      </c>
      <c r="Q1659" s="471"/>
    </row>
    <row r="1660" spans="1:17">
      <c r="C1660" s="505">
        <f>IF(D1649="","-",+C1659+1)</f>
        <v>2020</v>
      </c>
      <c r="D1660" s="941">
        <f t="shared" si="158"/>
        <v>0</v>
      </c>
      <c r="E1660" s="511">
        <f t="shared" si="159"/>
        <v>0</v>
      </c>
      <c r="F1660" s="511">
        <f t="shared" si="152"/>
        <v>0</v>
      </c>
      <c r="G1660" s="469">
        <f t="shared" si="153"/>
        <v>0</v>
      </c>
      <c r="H1660" s="506">
        <f>+J1650*G1660+E1660</f>
        <v>0</v>
      </c>
      <c r="I1660" s="512">
        <f>+J1651*G1660+E1660</f>
        <v>0</v>
      </c>
      <c r="J1660" s="509">
        <f t="shared" si="154"/>
        <v>0</v>
      </c>
      <c r="K1660" s="509"/>
      <c r="L1660" s="513">
        <v>0</v>
      </c>
      <c r="M1660" s="509">
        <f t="shared" si="155"/>
        <v>0</v>
      </c>
      <c r="N1660" s="513">
        <v>0</v>
      </c>
      <c r="O1660" s="509">
        <f t="shared" si="156"/>
        <v>0</v>
      </c>
      <c r="P1660" s="509">
        <f t="shared" si="157"/>
        <v>0</v>
      </c>
      <c r="Q1660" s="471"/>
    </row>
    <row r="1661" spans="1:17">
      <c r="C1661" s="505">
        <f>IF(D1649="","-",+C1660+1)</f>
        <v>2021</v>
      </c>
      <c r="D1661" s="941">
        <f t="shared" si="158"/>
        <v>0</v>
      </c>
      <c r="E1661" s="511">
        <f t="shared" si="159"/>
        <v>0</v>
      </c>
      <c r="F1661" s="511">
        <f t="shared" si="152"/>
        <v>0</v>
      </c>
      <c r="G1661" s="469">
        <f t="shared" si="153"/>
        <v>0</v>
      </c>
      <c r="H1661" s="506">
        <f>+J1650*G1661+E1661</f>
        <v>0</v>
      </c>
      <c r="I1661" s="512">
        <f>+J1651*G1661+E1661</f>
        <v>0</v>
      </c>
      <c r="J1661" s="509">
        <f t="shared" si="154"/>
        <v>0</v>
      </c>
      <c r="K1661" s="509"/>
      <c r="L1661" s="513">
        <v>0</v>
      </c>
      <c r="M1661" s="509">
        <f t="shared" si="155"/>
        <v>0</v>
      </c>
      <c r="N1661" s="513">
        <v>0</v>
      </c>
      <c r="O1661" s="509">
        <f t="shared" si="156"/>
        <v>0</v>
      </c>
      <c r="P1661" s="509">
        <f t="shared" si="157"/>
        <v>0</v>
      </c>
      <c r="Q1661" s="471"/>
    </row>
    <row r="1662" spans="1:17">
      <c r="C1662" s="505">
        <f>IF(D1649="","-",+C1661+1)</f>
        <v>2022</v>
      </c>
      <c r="D1662" s="469">
        <f t="shared" si="158"/>
        <v>0</v>
      </c>
      <c r="E1662" s="511">
        <f t="shared" si="159"/>
        <v>0</v>
      </c>
      <c r="F1662" s="511">
        <f t="shared" si="152"/>
        <v>0</v>
      </c>
      <c r="G1662" s="469">
        <f t="shared" si="153"/>
        <v>0</v>
      </c>
      <c r="H1662" s="506">
        <f>+J1650*G1662+E1662</f>
        <v>0</v>
      </c>
      <c r="I1662" s="512">
        <f>+J1651*G1662+E1662</f>
        <v>0</v>
      </c>
      <c r="J1662" s="509">
        <f t="shared" si="154"/>
        <v>0</v>
      </c>
      <c r="K1662" s="509"/>
      <c r="L1662" s="513">
        <v>0</v>
      </c>
      <c r="M1662" s="509">
        <f t="shared" si="155"/>
        <v>0</v>
      </c>
      <c r="N1662" s="513">
        <v>0</v>
      </c>
      <c r="O1662" s="509">
        <f t="shared" si="156"/>
        <v>0</v>
      </c>
      <c r="P1662" s="509">
        <f t="shared" si="157"/>
        <v>0</v>
      </c>
      <c r="Q1662" s="471"/>
    </row>
    <row r="1663" spans="1:17">
      <c r="C1663" s="505">
        <f>IF(D1649="","-",+C1662+1)</f>
        <v>2023</v>
      </c>
      <c r="D1663" s="469">
        <f t="shared" si="158"/>
        <v>0</v>
      </c>
      <c r="E1663" s="511">
        <f t="shared" si="159"/>
        <v>0</v>
      </c>
      <c r="F1663" s="511">
        <f t="shared" si="152"/>
        <v>0</v>
      </c>
      <c r="G1663" s="469">
        <f t="shared" si="153"/>
        <v>0</v>
      </c>
      <c r="H1663" s="506">
        <f>+J1650*G1663+E1663</f>
        <v>0</v>
      </c>
      <c r="I1663" s="512">
        <f>+J1651*G1663+E1663</f>
        <v>0</v>
      </c>
      <c r="J1663" s="509">
        <f t="shared" si="154"/>
        <v>0</v>
      </c>
      <c r="K1663" s="509"/>
      <c r="L1663" s="513">
        <v>0</v>
      </c>
      <c r="M1663" s="509">
        <f t="shared" si="155"/>
        <v>0</v>
      </c>
      <c r="N1663" s="513">
        <v>0</v>
      </c>
      <c r="O1663" s="509">
        <f t="shared" si="156"/>
        <v>0</v>
      </c>
      <c r="P1663" s="509">
        <f t="shared" si="157"/>
        <v>0</v>
      </c>
      <c r="Q1663" s="471"/>
    </row>
    <row r="1664" spans="1:17">
      <c r="C1664" s="963">
        <f>IF(D1649="","-",+C1663+1)</f>
        <v>2024</v>
      </c>
      <c r="D1664" s="469">
        <f t="shared" si="158"/>
        <v>0</v>
      </c>
      <c r="E1664" s="511">
        <f t="shared" si="159"/>
        <v>0</v>
      </c>
      <c r="F1664" s="511">
        <f t="shared" si="152"/>
        <v>0</v>
      </c>
      <c r="G1664" s="469">
        <f t="shared" si="153"/>
        <v>0</v>
      </c>
      <c r="H1664" s="506">
        <f>+J1650*G1664+E1664</f>
        <v>0</v>
      </c>
      <c r="I1664" s="512">
        <f>+J1651*G1664+E1664</f>
        <v>0</v>
      </c>
      <c r="J1664" s="509">
        <f t="shared" si="154"/>
        <v>0</v>
      </c>
      <c r="K1664" s="509"/>
      <c r="L1664" s="513">
        <v>0</v>
      </c>
      <c r="M1664" s="509">
        <f t="shared" si="155"/>
        <v>0</v>
      </c>
      <c r="N1664" s="513">
        <v>0</v>
      </c>
      <c r="O1664" s="509">
        <f t="shared" si="156"/>
        <v>0</v>
      </c>
      <c r="P1664" s="509">
        <f t="shared" si="157"/>
        <v>0</v>
      </c>
      <c r="Q1664" s="471"/>
    </row>
    <row r="1665" spans="3:17">
      <c r="C1665" s="505">
        <f>IF(D1649="","-",+C1664+1)</f>
        <v>2025</v>
      </c>
      <c r="D1665" s="469">
        <f t="shared" si="158"/>
        <v>0</v>
      </c>
      <c r="E1665" s="511">
        <f t="shared" si="159"/>
        <v>0</v>
      </c>
      <c r="F1665" s="511">
        <f t="shared" si="152"/>
        <v>0</v>
      </c>
      <c r="G1665" s="469">
        <f t="shared" si="153"/>
        <v>0</v>
      </c>
      <c r="H1665" s="506">
        <f>+J1650*G1665+E1665</f>
        <v>0</v>
      </c>
      <c r="I1665" s="512">
        <f>+J1651*G1665+E1665</f>
        <v>0</v>
      </c>
      <c r="J1665" s="509">
        <f t="shared" si="154"/>
        <v>0</v>
      </c>
      <c r="K1665" s="509"/>
      <c r="L1665" s="513"/>
      <c r="M1665" s="509">
        <f t="shared" si="155"/>
        <v>0</v>
      </c>
      <c r="N1665" s="513"/>
      <c r="O1665" s="509">
        <f t="shared" si="156"/>
        <v>0</v>
      </c>
      <c r="P1665" s="509">
        <f t="shared" si="157"/>
        <v>0</v>
      </c>
      <c r="Q1665" s="471"/>
    </row>
    <row r="1666" spans="3:17">
      <c r="C1666" s="505">
        <f>IF(D1649="","-",+C1665+1)</f>
        <v>2026</v>
      </c>
      <c r="D1666" s="469">
        <f t="shared" si="158"/>
        <v>0</v>
      </c>
      <c r="E1666" s="511">
        <f t="shared" si="159"/>
        <v>0</v>
      </c>
      <c r="F1666" s="511">
        <f t="shared" si="152"/>
        <v>0</v>
      </c>
      <c r="G1666" s="469">
        <f t="shared" si="153"/>
        <v>0</v>
      </c>
      <c r="H1666" s="506">
        <f>+J1650*G1666+E1666</f>
        <v>0</v>
      </c>
      <c r="I1666" s="512">
        <f>+J1651*G1666+E1666</f>
        <v>0</v>
      </c>
      <c r="J1666" s="509">
        <f t="shared" si="154"/>
        <v>0</v>
      </c>
      <c r="K1666" s="509"/>
      <c r="L1666" s="513"/>
      <c r="M1666" s="509">
        <f t="shared" si="155"/>
        <v>0</v>
      </c>
      <c r="N1666" s="513"/>
      <c r="O1666" s="509">
        <f t="shared" si="156"/>
        <v>0</v>
      </c>
      <c r="P1666" s="509">
        <f t="shared" si="157"/>
        <v>0</v>
      </c>
      <c r="Q1666" s="471"/>
    </row>
    <row r="1667" spans="3:17">
      <c r="C1667" s="505">
        <f>IF(D1649="","-",+C1666+1)</f>
        <v>2027</v>
      </c>
      <c r="D1667" s="469">
        <f t="shared" si="158"/>
        <v>0</v>
      </c>
      <c r="E1667" s="511">
        <f t="shared" si="159"/>
        <v>0</v>
      </c>
      <c r="F1667" s="511">
        <f t="shared" si="152"/>
        <v>0</v>
      </c>
      <c r="G1667" s="469">
        <f t="shared" si="153"/>
        <v>0</v>
      </c>
      <c r="H1667" s="506">
        <f>+J1650*G1667+E1667</f>
        <v>0</v>
      </c>
      <c r="I1667" s="512">
        <f>+J1651*G1667+E1667</f>
        <v>0</v>
      </c>
      <c r="J1667" s="509">
        <f t="shared" si="154"/>
        <v>0</v>
      </c>
      <c r="K1667" s="509"/>
      <c r="L1667" s="513"/>
      <c r="M1667" s="509">
        <f t="shared" si="155"/>
        <v>0</v>
      </c>
      <c r="N1667" s="513"/>
      <c r="O1667" s="509">
        <f t="shared" si="156"/>
        <v>0</v>
      </c>
      <c r="P1667" s="509">
        <f t="shared" si="157"/>
        <v>0</v>
      </c>
      <c r="Q1667" s="471"/>
    </row>
    <row r="1668" spans="3:17">
      <c r="C1668" s="505">
        <f>IF(D1649="","-",+C1667+1)</f>
        <v>2028</v>
      </c>
      <c r="D1668" s="469">
        <f t="shared" si="158"/>
        <v>0</v>
      </c>
      <c r="E1668" s="511">
        <f t="shared" si="159"/>
        <v>0</v>
      </c>
      <c r="F1668" s="511">
        <f t="shared" si="152"/>
        <v>0</v>
      </c>
      <c r="G1668" s="469">
        <f t="shared" si="153"/>
        <v>0</v>
      </c>
      <c r="H1668" s="506">
        <f>+J1650*G1668+E1668</f>
        <v>0</v>
      </c>
      <c r="I1668" s="512">
        <f>+J1651*G1668+E1668</f>
        <v>0</v>
      </c>
      <c r="J1668" s="509">
        <f t="shared" si="154"/>
        <v>0</v>
      </c>
      <c r="K1668" s="509"/>
      <c r="L1668" s="513"/>
      <c r="M1668" s="509">
        <f t="shared" si="155"/>
        <v>0</v>
      </c>
      <c r="N1668" s="513"/>
      <c r="O1668" s="509">
        <f t="shared" si="156"/>
        <v>0</v>
      </c>
      <c r="P1668" s="509">
        <f t="shared" si="157"/>
        <v>0</v>
      </c>
      <c r="Q1668" s="471"/>
    </row>
    <row r="1669" spans="3:17">
      <c r="C1669" s="505">
        <f>IF(D1649="","-",+C1668+1)</f>
        <v>2029</v>
      </c>
      <c r="D1669" s="469">
        <f t="shared" si="158"/>
        <v>0</v>
      </c>
      <c r="E1669" s="511">
        <f t="shared" si="159"/>
        <v>0</v>
      </c>
      <c r="F1669" s="511">
        <f t="shared" si="152"/>
        <v>0</v>
      </c>
      <c r="G1669" s="469">
        <f t="shared" si="153"/>
        <v>0</v>
      </c>
      <c r="H1669" s="506">
        <f>+J1650*G1669+E1669</f>
        <v>0</v>
      </c>
      <c r="I1669" s="512">
        <f>+J1651*G1669+E1669</f>
        <v>0</v>
      </c>
      <c r="J1669" s="509">
        <f t="shared" si="154"/>
        <v>0</v>
      </c>
      <c r="K1669" s="509"/>
      <c r="L1669" s="513"/>
      <c r="M1669" s="509">
        <f t="shared" si="155"/>
        <v>0</v>
      </c>
      <c r="N1669" s="513"/>
      <c r="O1669" s="509">
        <f t="shared" si="156"/>
        <v>0</v>
      </c>
      <c r="P1669" s="509">
        <f t="shared" si="157"/>
        <v>0</v>
      </c>
      <c r="Q1669" s="471"/>
    </row>
    <row r="1670" spans="3:17">
      <c r="C1670" s="505">
        <f>IF(D1649="","-",+C1669+1)</f>
        <v>2030</v>
      </c>
      <c r="D1670" s="469">
        <f t="shared" si="158"/>
        <v>0</v>
      </c>
      <c r="E1670" s="511">
        <f t="shared" si="159"/>
        <v>0</v>
      </c>
      <c r="F1670" s="511">
        <f t="shared" si="152"/>
        <v>0</v>
      </c>
      <c r="G1670" s="469">
        <f t="shared" si="153"/>
        <v>0</v>
      </c>
      <c r="H1670" s="506">
        <f>+J1650*G1670+E1670</f>
        <v>0</v>
      </c>
      <c r="I1670" s="512">
        <f>+J1651*G1670+E1670</f>
        <v>0</v>
      </c>
      <c r="J1670" s="509">
        <f t="shared" si="154"/>
        <v>0</v>
      </c>
      <c r="K1670" s="509"/>
      <c r="L1670" s="513"/>
      <c r="M1670" s="509">
        <f t="shared" si="155"/>
        <v>0</v>
      </c>
      <c r="N1670" s="513"/>
      <c r="O1670" s="509">
        <f t="shared" si="156"/>
        <v>0</v>
      </c>
      <c r="P1670" s="509">
        <f t="shared" si="157"/>
        <v>0</v>
      </c>
      <c r="Q1670" s="471"/>
    </row>
    <row r="1671" spans="3:17">
      <c r="C1671" s="505">
        <f>IF(D1649="","-",+C1670+1)</f>
        <v>2031</v>
      </c>
      <c r="D1671" s="469">
        <f t="shared" si="158"/>
        <v>0</v>
      </c>
      <c r="E1671" s="511">
        <f t="shared" si="159"/>
        <v>0</v>
      </c>
      <c r="F1671" s="511">
        <f t="shared" si="152"/>
        <v>0</v>
      </c>
      <c r="G1671" s="469">
        <f t="shared" si="153"/>
        <v>0</v>
      </c>
      <c r="H1671" s="506">
        <f>+J1650*G1671+E1671</f>
        <v>0</v>
      </c>
      <c r="I1671" s="512">
        <f>+J1651*G1671+E1671</f>
        <v>0</v>
      </c>
      <c r="J1671" s="509">
        <f t="shared" si="154"/>
        <v>0</v>
      </c>
      <c r="K1671" s="509"/>
      <c r="L1671" s="513"/>
      <c r="M1671" s="509">
        <f t="shared" si="155"/>
        <v>0</v>
      </c>
      <c r="N1671" s="513"/>
      <c r="O1671" s="509">
        <f t="shared" si="156"/>
        <v>0</v>
      </c>
      <c r="P1671" s="509">
        <f t="shared" si="157"/>
        <v>0</v>
      </c>
      <c r="Q1671" s="471"/>
    </row>
    <row r="1672" spans="3:17">
      <c r="C1672" s="505">
        <f>IF(D1649="","-",+C1671+1)</f>
        <v>2032</v>
      </c>
      <c r="D1672" s="469">
        <f t="shared" si="158"/>
        <v>0</v>
      </c>
      <c r="E1672" s="511">
        <f t="shared" si="159"/>
        <v>0</v>
      </c>
      <c r="F1672" s="511">
        <f t="shared" si="152"/>
        <v>0</v>
      </c>
      <c r="G1672" s="469">
        <f t="shared" si="153"/>
        <v>0</v>
      </c>
      <c r="H1672" s="506">
        <f>+J1650*G1672+E1672</f>
        <v>0</v>
      </c>
      <c r="I1672" s="512">
        <f>+J1651*G1672+E1672</f>
        <v>0</v>
      </c>
      <c r="J1672" s="509">
        <f t="shared" si="154"/>
        <v>0</v>
      </c>
      <c r="K1672" s="509"/>
      <c r="L1672" s="513"/>
      <c r="M1672" s="509">
        <f t="shared" si="155"/>
        <v>0</v>
      </c>
      <c r="N1672" s="513"/>
      <c r="O1672" s="509">
        <f t="shared" si="156"/>
        <v>0</v>
      </c>
      <c r="P1672" s="509">
        <f t="shared" si="157"/>
        <v>0</v>
      </c>
      <c r="Q1672" s="471"/>
    </row>
    <row r="1673" spans="3:17">
      <c r="C1673" s="505">
        <f>IF(D1649="","-",+C1672+1)</f>
        <v>2033</v>
      </c>
      <c r="D1673" s="469">
        <f t="shared" si="158"/>
        <v>0</v>
      </c>
      <c r="E1673" s="511">
        <f t="shared" si="159"/>
        <v>0</v>
      </c>
      <c r="F1673" s="511">
        <f t="shared" si="152"/>
        <v>0</v>
      </c>
      <c r="G1673" s="469">
        <f t="shared" si="153"/>
        <v>0</v>
      </c>
      <c r="H1673" s="506">
        <f>+J1650*G1673+E1673</f>
        <v>0</v>
      </c>
      <c r="I1673" s="512">
        <f>+J1651*G1673+E1673</f>
        <v>0</v>
      </c>
      <c r="J1673" s="509">
        <f t="shared" si="154"/>
        <v>0</v>
      </c>
      <c r="K1673" s="509"/>
      <c r="L1673" s="513"/>
      <c r="M1673" s="509">
        <f t="shared" si="155"/>
        <v>0</v>
      </c>
      <c r="N1673" s="513"/>
      <c r="O1673" s="509">
        <f t="shared" si="156"/>
        <v>0</v>
      </c>
      <c r="P1673" s="509">
        <f t="shared" si="157"/>
        <v>0</v>
      </c>
      <c r="Q1673" s="471"/>
    </row>
    <row r="1674" spans="3:17">
      <c r="C1674" s="505">
        <f>IF(D1649="","-",+C1673+1)</f>
        <v>2034</v>
      </c>
      <c r="D1674" s="469">
        <f t="shared" si="158"/>
        <v>0</v>
      </c>
      <c r="E1674" s="511">
        <f t="shared" si="159"/>
        <v>0</v>
      </c>
      <c r="F1674" s="511">
        <f t="shared" si="152"/>
        <v>0</v>
      </c>
      <c r="G1674" s="469">
        <f t="shared" si="153"/>
        <v>0</v>
      </c>
      <c r="H1674" s="506">
        <f>+J1650*G1674+E1674</f>
        <v>0</v>
      </c>
      <c r="I1674" s="512">
        <f>+J1651*G1674+E1674</f>
        <v>0</v>
      </c>
      <c r="J1674" s="509">
        <f t="shared" si="154"/>
        <v>0</v>
      </c>
      <c r="K1674" s="509"/>
      <c r="L1674" s="513"/>
      <c r="M1674" s="509">
        <f t="shared" si="155"/>
        <v>0</v>
      </c>
      <c r="N1674" s="513"/>
      <c r="O1674" s="509">
        <f t="shared" si="156"/>
        <v>0</v>
      </c>
      <c r="P1674" s="509">
        <f t="shared" si="157"/>
        <v>0</v>
      </c>
      <c r="Q1674" s="471"/>
    </row>
    <row r="1675" spans="3:17">
      <c r="C1675" s="505">
        <f>IF(D1649="","-",+C1674+1)</f>
        <v>2035</v>
      </c>
      <c r="D1675" s="469">
        <f t="shared" si="158"/>
        <v>0</v>
      </c>
      <c r="E1675" s="511">
        <f t="shared" si="159"/>
        <v>0</v>
      </c>
      <c r="F1675" s="511">
        <f t="shared" si="152"/>
        <v>0</v>
      </c>
      <c r="G1675" s="469">
        <f t="shared" si="153"/>
        <v>0</v>
      </c>
      <c r="H1675" s="506">
        <f>+J1650*G1675+E1675</f>
        <v>0</v>
      </c>
      <c r="I1675" s="512">
        <f>+J1651*G1675+E1675</f>
        <v>0</v>
      </c>
      <c r="J1675" s="509">
        <f t="shared" si="154"/>
        <v>0</v>
      </c>
      <c r="K1675" s="509"/>
      <c r="L1675" s="513"/>
      <c r="M1675" s="509">
        <f t="shared" si="155"/>
        <v>0</v>
      </c>
      <c r="N1675" s="513"/>
      <c r="O1675" s="509">
        <f t="shared" si="156"/>
        <v>0</v>
      </c>
      <c r="P1675" s="509">
        <f t="shared" si="157"/>
        <v>0</v>
      </c>
      <c r="Q1675" s="471"/>
    </row>
    <row r="1676" spans="3:17">
      <c r="C1676" s="505">
        <f>IF(D1649="","-",+C1675+1)</f>
        <v>2036</v>
      </c>
      <c r="D1676" s="469">
        <f t="shared" si="158"/>
        <v>0</v>
      </c>
      <c r="E1676" s="511">
        <f t="shared" si="159"/>
        <v>0</v>
      </c>
      <c r="F1676" s="511">
        <f t="shared" si="152"/>
        <v>0</v>
      </c>
      <c r="G1676" s="469">
        <f t="shared" si="153"/>
        <v>0</v>
      </c>
      <c r="H1676" s="506">
        <f>+J1650*G1676+E1676</f>
        <v>0</v>
      </c>
      <c r="I1676" s="512">
        <f>+J1651*G1676+E1676</f>
        <v>0</v>
      </c>
      <c r="J1676" s="509">
        <f t="shared" si="154"/>
        <v>0</v>
      </c>
      <c r="K1676" s="509"/>
      <c r="L1676" s="513"/>
      <c r="M1676" s="509">
        <f t="shared" si="155"/>
        <v>0</v>
      </c>
      <c r="N1676" s="513"/>
      <c r="O1676" s="509">
        <f t="shared" si="156"/>
        <v>0</v>
      </c>
      <c r="P1676" s="509">
        <f t="shared" si="157"/>
        <v>0</v>
      </c>
      <c r="Q1676" s="471"/>
    </row>
    <row r="1677" spans="3:17">
      <c r="C1677" s="505">
        <f>IF(D1649="","-",+C1676+1)</f>
        <v>2037</v>
      </c>
      <c r="D1677" s="469">
        <f t="shared" si="158"/>
        <v>0</v>
      </c>
      <c r="E1677" s="511">
        <f t="shared" si="159"/>
        <v>0</v>
      </c>
      <c r="F1677" s="511">
        <f t="shared" si="152"/>
        <v>0</v>
      </c>
      <c r="G1677" s="469">
        <f t="shared" si="153"/>
        <v>0</v>
      </c>
      <c r="H1677" s="506">
        <f>+J1650*G1677+E1677</f>
        <v>0</v>
      </c>
      <c r="I1677" s="512">
        <f>+J1651*G1677+E1677</f>
        <v>0</v>
      </c>
      <c r="J1677" s="509">
        <f t="shared" si="154"/>
        <v>0</v>
      </c>
      <c r="K1677" s="509"/>
      <c r="L1677" s="513"/>
      <c r="M1677" s="509">
        <f t="shared" si="155"/>
        <v>0</v>
      </c>
      <c r="N1677" s="513"/>
      <c r="O1677" s="509">
        <f t="shared" si="156"/>
        <v>0</v>
      </c>
      <c r="P1677" s="509">
        <f t="shared" si="157"/>
        <v>0</v>
      </c>
      <c r="Q1677" s="471"/>
    </row>
    <row r="1678" spans="3:17">
      <c r="C1678" s="505">
        <f>IF(D1649="","-",+C1677+1)</f>
        <v>2038</v>
      </c>
      <c r="D1678" s="469">
        <f t="shared" si="158"/>
        <v>0</v>
      </c>
      <c r="E1678" s="511">
        <f t="shared" si="159"/>
        <v>0</v>
      </c>
      <c r="F1678" s="511">
        <f t="shared" si="152"/>
        <v>0</v>
      </c>
      <c r="G1678" s="469">
        <f t="shared" si="153"/>
        <v>0</v>
      </c>
      <c r="H1678" s="506">
        <f>+J1650*G1678+E1678</f>
        <v>0</v>
      </c>
      <c r="I1678" s="512">
        <f>+J1651*G1678+E1678</f>
        <v>0</v>
      </c>
      <c r="J1678" s="509">
        <f t="shared" si="154"/>
        <v>0</v>
      </c>
      <c r="K1678" s="509"/>
      <c r="L1678" s="513"/>
      <c r="M1678" s="509">
        <f t="shared" si="155"/>
        <v>0</v>
      </c>
      <c r="N1678" s="513"/>
      <c r="O1678" s="509">
        <f t="shared" si="156"/>
        <v>0</v>
      </c>
      <c r="P1678" s="509">
        <f t="shared" si="157"/>
        <v>0</v>
      </c>
      <c r="Q1678" s="471"/>
    </row>
    <row r="1679" spans="3:17">
      <c r="C1679" s="505">
        <f>IF(D1649="","-",+C1678+1)</f>
        <v>2039</v>
      </c>
      <c r="D1679" s="469">
        <f t="shared" si="158"/>
        <v>0</v>
      </c>
      <c r="E1679" s="511">
        <f t="shared" si="159"/>
        <v>0</v>
      </c>
      <c r="F1679" s="511">
        <f t="shared" si="152"/>
        <v>0</v>
      </c>
      <c r="G1679" s="469">
        <f t="shared" si="153"/>
        <v>0</v>
      </c>
      <c r="H1679" s="506">
        <f>+J1650*G1679+E1679</f>
        <v>0</v>
      </c>
      <c r="I1679" s="512">
        <f>+J1651*G1679+E1679</f>
        <v>0</v>
      </c>
      <c r="J1679" s="509">
        <f t="shared" si="154"/>
        <v>0</v>
      </c>
      <c r="K1679" s="509"/>
      <c r="L1679" s="513"/>
      <c r="M1679" s="509">
        <f t="shared" si="155"/>
        <v>0</v>
      </c>
      <c r="N1679" s="513"/>
      <c r="O1679" s="509">
        <f t="shared" si="156"/>
        <v>0</v>
      </c>
      <c r="P1679" s="509">
        <f t="shared" si="157"/>
        <v>0</v>
      </c>
      <c r="Q1679" s="471"/>
    </row>
    <row r="1680" spans="3:17">
      <c r="C1680" s="505">
        <f>IF(D1649="","-",+C1679+1)</f>
        <v>2040</v>
      </c>
      <c r="D1680" s="469">
        <f t="shared" si="158"/>
        <v>0</v>
      </c>
      <c r="E1680" s="511">
        <f t="shared" si="159"/>
        <v>0</v>
      </c>
      <c r="F1680" s="511">
        <f t="shared" si="152"/>
        <v>0</v>
      </c>
      <c r="G1680" s="469">
        <f t="shared" si="153"/>
        <v>0</v>
      </c>
      <c r="H1680" s="506">
        <f>+J1650*G1680+E1680</f>
        <v>0</v>
      </c>
      <c r="I1680" s="512">
        <f>+J1651*G1680+E1680</f>
        <v>0</v>
      </c>
      <c r="J1680" s="509">
        <f t="shared" si="154"/>
        <v>0</v>
      </c>
      <c r="K1680" s="509"/>
      <c r="L1680" s="513"/>
      <c r="M1680" s="509">
        <f t="shared" si="155"/>
        <v>0</v>
      </c>
      <c r="N1680" s="513"/>
      <c r="O1680" s="509">
        <f t="shared" si="156"/>
        <v>0</v>
      </c>
      <c r="P1680" s="509">
        <f t="shared" si="157"/>
        <v>0</v>
      </c>
      <c r="Q1680" s="471"/>
    </row>
    <row r="1681" spans="3:17">
      <c r="C1681" s="505">
        <f>IF(D1649="","-",+C1680+1)</f>
        <v>2041</v>
      </c>
      <c r="D1681" s="469">
        <f t="shared" si="158"/>
        <v>0</v>
      </c>
      <c r="E1681" s="511">
        <f t="shared" si="159"/>
        <v>0</v>
      </c>
      <c r="F1681" s="511">
        <f t="shared" si="152"/>
        <v>0</v>
      </c>
      <c r="G1681" s="469">
        <f t="shared" si="153"/>
        <v>0</v>
      </c>
      <c r="H1681" s="506">
        <f>+J1650*G1681+E1681</f>
        <v>0</v>
      </c>
      <c r="I1681" s="512">
        <f>+J1651*G1681+E1681</f>
        <v>0</v>
      </c>
      <c r="J1681" s="509">
        <f t="shared" si="154"/>
        <v>0</v>
      </c>
      <c r="K1681" s="509"/>
      <c r="L1681" s="513"/>
      <c r="M1681" s="509">
        <f t="shared" si="155"/>
        <v>0</v>
      </c>
      <c r="N1681" s="513"/>
      <c r="O1681" s="509">
        <f t="shared" si="156"/>
        <v>0</v>
      </c>
      <c r="P1681" s="509">
        <f t="shared" si="157"/>
        <v>0</v>
      </c>
      <c r="Q1681" s="471"/>
    </row>
    <row r="1682" spans="3:17">
      <c r="C1682" s="505">
        <f>IF(D1649="","-",+C1681+1)</f>
        <v>2042</v>
      </c>
      <c r="D1682" s="469">
        <f t="shared" si="158"/>
        <v>0</v>
      </c>
      <c r="E1682" s="511">
        <f t="shared" si="159"/>
        <v>0</v>
      </c>
      <c r="F1682" s="511">
        <f t="shared" si="152"/>
        <v>0</v>
      </c>
      <c r="G1682" s="469">
        <f t="shared" si="153"/>
        <v>0</v>
      </c>
      <c r="H1682" s="506">
        <f>+J1650*G1682+E1682</f>
        <v>0</v>
      </c>
      <c r="I1682" s="512">
        <f>+J1651*G1682+E1682</f>
        <v>0</v>
      </c>
      <c r="J1682" s="509">
        <f t="shared" si="154"/>
        <v>0</v>
      </c>
      <c r="K1682" s="509"/>
      <c r="L1682" s="513"/>
      <c r="M1682" s="509">
        <f t="shared" si="155"/>
        <v>0</v>
      </c>
      <c r="N1682" s="513"/>
      <c r="O1682" s="509">
        <f t="shared" si="156"/>
        <v>0</v>
      </c>
      <c r="P1682" s="509">
        <f t="shared" si="157"/>
        <v>0</v>
      </c>
      <c r="Q1682" s="471"/>
    </row>
    <row r="1683" spans="3:17">
      <c r="C1683" s="505">
        <f>IF(D1649="","-",+C1682+1)</f>
        <v>2043</v>
      </c>
      <c r="D1683" s="469">
        <f t="shared" si="158"/>
        <v>0</v>
      </c>
      <c r="E1683" s="511">
        <f t="shared" si="159"/>
        <v>0</v>
      </c>
      <c r="F1683" s="511">
        <f t="shared" si="152"/>
        <v>0</v>
      </c>
      <c r="G1683" s="469">
        <f t="shared" si="153"/>
        <v>0</v>
      </c>
      <c r="H1683" s="506">
        <f>+J1650*G1683+E1683</f>
        <v>0</v>
      </c>
      <c r="I1683" s="512">
        <f>+J1651*G1683+E1683</f>
        <v>0</v>
      </c>
      <c r="J1683" s="509">
        <f t="shared" si="154"/>
        <v>0</v>
      </c>
      <c r="K1683" s="509"/>
      <c r="L1683" s="513"/>
      <c r="M1683" s="509">
        <f t="shared" si="155"/>
        <v>0</v>
      </c>
      <c r="N1683" s="513"/>
      <c r="O1683" s="509">
        <f t="shared" si="156"/>
        <v>0</v>
      </c>
      <c r="P1683" s="509">
        <f t="shared" si="157"/>
        <v>0</v>
      </c>
      <c r="Q1683" s="471"/>
    </row>
    <row r="1684" spans="3:17">
      <c r="C1684" s="505">
        <f>IF(D1649="","-",+C1683+1)</f>
        <v>2044</v>
      </c>
      <c r="D1684" s="469">
        <f t="shared" si="158"/>
        <v>0</v>
      </c>
      <c r="E1684" s="511">
        <f t="shared" si="159"/>
        <v>0</v>
      </c>
      <c r="F1684" s="511">
        <f t="shared" si="152"/>
        <v>0</v>
      </c>
      <c r="G1684" s="469">
        <f t="shared" si="153"/>
        <v>0</v>
      </c>
      <c r="H1684" s="506">
        <f>+J1650*G1684+E1684</f>
        <v>0</v>
      </c>
      <c r="I1684" s="512">
        <f>+J1651*G1684+E1684</f>
        <v>0</v>
      </c>
      <c r="J1684" s="509">
        <f t="shared" si="154"/>
        <v>0</v>
      </c>
      <c r="K1684" s="509"/>
      <c r="L1684" s="513"/>
      <c r="M1684" s="509">
        <f t="shared" si="155"/>
        <v>0</v>
      </c>
      <c r="N1684" s="513"/>
      <c r="O1684" s="509">
        <f t="shared" si="156"/>
        <v>0</v>
      </c>
      <c r="P1684" s="509">
        <f t="shared" si="157"/>
        <v>0</v>
      </c>
      <c r="Q1684" s="471"/>
    </row>
    <row r="1685" spans="3:17">
      <c r="C1685" s="505">
        <f>IF(D1649="","-",+C1684+1)</f>
        <v>2045</v>
      </c>
      <c r="D1685" s="469">
        <f t="shared" si="158"/>
        <v>0</v>
      </c>
      <c r="E1685" s="511">
        <f t="shared" si="159"/>
        <v>0</v>
      </c>
      <c r="F1685" s="511">
        <f t="shared" si="152"/>
        <v>0</v>
      </c>
      <c r="G1685" s="469">
        <f t="shared" si="153"/>
        <v>0</v>
      </c>
      <c r="H1685" s="506">
        <f>+J1650*G1685+E1685</f>
        <v>0</v>
      </c>
      <c r="I1685" s="512">
        <f>+J1651*G1685+E1685</f>
        <v>0</v>
      </c>
      <c r="J1685" s="509">
        <f t="shared" si="154"/>
        <v>0</v>
      </c>
      <c r="K1685" s="509"/>
      <c r="L1685" s="513"/>
      <c r="M1685" s="509">
        <f t="shared" si="155"/>
        <v>0</v>
      </c>
      <c r="N1685" s="513"/>
      <c r="O1685" s="509">
        <f t="shared" si="156"/>
        <v>0</v>
      </c>
      <c r="P1685" s="509">
        <f t="shared" si="157"/>
        <v>0</v>
      </c>
      <c r="Q1685" s="471"/>
    </row>
    <row r="1686" spans="3:17">
      <c r="C1686" s="505">
        <f>IF(D1649="","-",+C1685+1)</f>
        <v>2046</v>
      </c>
      <c r="D1686" s="469">
        <f t="shared" si="158"/>
        <v>0</v>
      </c>
      <c r="E1686" s="511">
        <f t="shared" si="159"/>
        <v>0</v>
      </c>
      <c r="F1686" s="511">
        <f t="shared" si="152"/>
        <v>0</v>
      </c>
      <c r="G1686" s="469">
        <f t="shared" si="153"/>
        <v>0</v>
      </c>
      <c r="H1686" s="506">
        <f>+J1650*G1686+E1686</f>
        <v>0</v>
      </c>
      <c r="I1686" s="512">
        <f>+J1651*G1686+E1686</f>
        <v>0</v>
      </c>
      <c r="J1686" s="509">
        <f t="shared" si="154"/>
        <v>0</v>
      </c>
      <c r="K1686" s="509"/>
      <c r="L1686" s="513"/>
      <c r="M1686" s="509">
        <f t="shared" si="155"/>
        <v>0</v>
      </c>
      <c r="N1686" s="513"/>
      <c r="O1686" s="509">
        <f t="shared" si="156"/>
        <v>0</v>
      </c>
      <c r="P1686" s="509">
        <f t="shared" si="157"/>
        <v>0</v>
      </c>
      <c r="Q1686" s="471"/>
    </row>
    <row r="1687" spans="3:17">
      <c r="C1687" s="505">
        <f>IF(D1649="","-",+C1686+1)</f>
        <v>2047</v>
      </c>
      <c r="D1687" s="469">
        <f t="shared" si="158"/>
        <v>0</v>
      </c>
      <c r="E1687" s="511">
        <f t="shared" si="159"/>
        <v>0</v>
      </c>
      <c r="F1687" s="511">
        <f t="shared" si="152"/>
        <v>0</v>
      </c>
      <c r="G1687" s="469">
        <f t="shared" si="153"/>
        <v>0</v>
      </c>
      <c r="H1687" s="506">
        <f>+J1650*G1687+E1687</f>
        <v>0</v>
      </c>
      <c r="I1687" s="512">
        <f>+J1651*G1687+E1687</f>
        <v>0</v>
      </c>
      <c r="J1687" s="509">
        <f t="shared" si="154"/>
        <v>0</v>
      </c>
      <c r="K1687" s="509"/>
      <c r="L1687" s="513"/>
      <c r="M1687" s="509">
        <f t="shared" si="155"/>
        <v>0</v>
      </c>
      <c r="N1687" s="513"/>
      <c r="O1687" s="509">
        <f t="shared" si="156"/>
        <v>0</v>
      </c>
      <c r="P1687" s="509">
        <f t="shared" si="157"/>
        <v>0</v>
      </c>
      <c r="Q1687" s="471"/>
    </row>
    <row r="1688" spans="3:17">
      <c r="C1688" s="505">
        <f>IF(D1649="","-",+C1687+1)</f>
        <v>2048</v>
      </c>
      <c r="D1688" s="469">
        <f t="shared" si="158"/>
        <v>0</v>
      </c>
      <c r="E1688" s="511">
        <f t="shared" si="159"/>
        <v>0</v>
      </c>
      <c r="F1688" s="511">
        <f t="shared" si="152"/>
        <v>0</v>
      </c>
      <c r="G1688" s="469">
        <f t="shared" si="153"/>
        <v>0</v>
      </c>
      <c r="H1688" s="506">
        <f>+J1650*G1688+E1688</f>
        <v>0</v>
      </c>
      <c r="I1688" s="512">
        <f>+J1651*G1688+E1688</f>
        <v>0</v>
      </c>
      <c r="J1688" s="509">
        <f t="shared" si="154"/>
        <v>0</v>
      </c>
      <c r="K1688" s="509"/>
      <c r="L1688" s="513"/>
      <c r="M1688" s="509">
        <f t="shared" si="155"/>
        <v>0</v>
      </c>
      <c r="N1688" s="513"/>
      <c r="O1688" s="509">
        <f t="shared" si="156"/>
        <v>0</v>
      </c>
      <c r="P1688" s="509">
        <f t="shared" si="157"/>
        <v>0</v>
      </c>
      <c r="Q1688" s="471"/>
    </row>
    <row r="1689" spans="3:17">
      <c r="C1689" s="505">
        <f>IF(D1649="","-",+C1688+1)</f>
        <v>2049</v>
      </c>
      <c r="D1689" s="469">
        <f t="shared" si="158"/>
        <v>0</v>
      </c>
      <c r="E1689" s="511">
        <f t="shared" si="159"/>
        <v>0</v>
      </c>
      <c r="F1689" s="511">
        <f t="shared" si="152"/>
        <v>0</v>
      </c>
      <c r="G1689" s="469">
        <f t="shared" si="153"/>
        <v>0</v>
      </c>
      <c r="H1689" s="506">
        <f>+J1650*G1689+E1689</f>
        <v>0</v>
      </c>
      <c r="I1689" s="512">
        <f>+J1651*G1689+E1689</f>
        <v>0</v>
      </c>
      <c r="J1689" s="509">
        <f t="shared" si="154"/>
        <v>0</v>
      </c>
      <c r="K1689" s="509"/>
      <c r="L1689" s="513"/>
      <c r="M1689" s="509">
        <f t="shared" si="155"/>
        <v>0</v>
      </c>
      <c r="N1689" s="513"/>
      <c r="O1689" s="509">
        <f t="shared" si="156"/>
        <v>0</v>
      </c>
      <c r="P1689" s="509">
        <f t="shared" si="157"/>
        <v>0</v>
      </c>
      <c r="Q1689" s="471"/>
    </row>
    <row r="1690" spans="3:17">
      <c r="C1690" s="505">
        <f>IF(D1649="","-",+C1689+1)</f>
        <v>2050</v>
      </c>
      <c r="D1690" s="469">
        <f t="shared" si="158"/>
        <v>0</v>
      </c>
      <c r="E1690" s="511">
        <f t="shared" si="159"/>
        <v>0</v>
      </c>
      <c r="F1690" s="511">
        <f t="shared" si="152"/>
        <v>0</v>
      </c>
      <c r="G1690" s="469">
        <f t="shared" si="153"/>
        <v>0</v>
      </c>
      <c r="H1690" s="506">
        <f>+J1650*G1690+E1690</f>
        <v>0</v>
      </c>
      <c r="I1690" s="512">
        <f>+J1651*G1690+E1690</f>
        <v>0</v>
      </c>
      <c r="J1690" s="509">
        <f t="shared" si="154"/>
        <v>0</v>
      </c>
      <c r="K1690" s="509"/>
      <c r="L1690" s="513"/>
      <c r="M1690" s="509">
        <f t="shared" si="155"/>
        <v>0</v>
      </c>
      <c r="N1690" s="513"/>
      <c r="O1690" s="509">
        <f t="shared" si="156"/>
        <v>0</v>
      </c>
      <c r="P1690" s="509">
        <f t="shared" si="157"/>
        <v>0</v>
      </c>
      <c r="Q1690" s="471"/>
    </row>
    <row r="1691" spans="3:17">
      <c r="C1691" s="505">
        <f>IF(D1649="","-",+C1690+1)</f>
        <v>2051</v>
      </c>
      <c r="D1691" s="469">
        <f t="shared" si="158"/>
        <v>0</v>
      </c>
      <c r="E1691" s="511">
        <f t="shared" si="159"/>
        <v>0</v>
      </c>
      <c r="F1691" s="511">
        <f t="shared" si="152"/>
        <v>0</v>
      </c>
      <c r="G1691" s="469">
        <f t="shared" si="153"/>
        <v>0</v>
      </c>
      <c r="H1691" s="506">
        <f>+J1650*G1691+E1691</f>
        <v>0</v>
      </c>
      <c r="I1691" s="512">
        <f>+J1651*G1691+E1691</f>
        <v>0</v>
      </c>
      <c r="J1691" s="509">
        <f t="shared" si="154"/>
        <v>0</v>
      </c>
      <c r="K1691" s="509"/>
      <c r="L1691" s="513"/>
      <c r="M1691" s="509">
        <f t="shared" si="155"/>
        <v>0</v>
      </c>
      <c r="N1691" s="513"/>
      <c r="O1691" s="509">
        <f t="shared" si="156"/>
        <v>0</v>
      </c>
      <c r="P1691" s="509">
        <f t="shared" si="157"/>
        <v>0</v>
      </c>
      <c r="Q1691" s="471"/>
    </row>
    <row r="1692" spans="3:17">
      <c r="C1692" s="505">
        <f>IF(D1649="","-",+C1691+1)</f>
        <v>2052</v>
      </c>
      <c r="D1692" s="469">
        <f t="shared" si="158"/>
        <v>0</v>
      </c>
      <c r="E1692" s="511">
        <f t="shared" si="159"/>
        <v>0</v>
      </c>
      <c r="F1692" s="511">
        <f t="shared" si="152"/>
        <v>0</v>
      </c>
      <c r="G1692" s="469">
        <f t="shared" si="153"/>
        <v>0</v>
      </c>
      <c r="H1692" s="506">
        <f>+J1650*G1692+E1692</f>
        <v>0</v>
      </c>
      <c r="I1692" s="512">
        <f>+J1651*G1692+E1692</f>
        <v>0</v>
      </c>
      <c r="J1692" s="509">
        <f t="shared" si="154"/>
        <v>0</v>
      </c>
      <c r="K1692" s="509"/>
      <c r="L1692" s="513"/>
      <c r="M1692" s="509">
        <f t="shared" si="155"/>
        <v>0</v>
      </c>
      <c r="N1692" s="513"/>
      <c r="O1692" s="509">
        <f t="shared" si="156"/>
        <v>0</v>
      </c>
      <c r="P1692" s="509">
        <f t="shared" si="157"/>
        <v>0</v>
      </c>
      <c r="Q1692" s="471"/>
    </row>
    <row r="1693" spans="3:17">
      <c r="C1693" s="505">
        <f>IF(D1649="","-",+C1692+1)</f>
        <v>2053</v>
      </c>
      <c r="D1693" s="469">
        <f t="shared" si="158"/>
        <v>0</v>
      </c>
      <c r="E1693" s="511">
        <f t="shared" si="159"/>
        <v>0</v>
      </c>
      <c r="F1693" s="511">
        <f t="shared" si="152"/>
        <v>0</v>
      </c>
      <c r="G1693" s="469">
        <f t="shared" si="153"/>
        <v>0</v>
      </c>
      <c r="H1693" s="506">
        <f>+J1650*G1693+E1693</f>
        <v>0</v>
      </c>
      <c r="I1693" s="512">
        <f>+J1651*G1693+E1693</f>
        <v>0</v>
      </c>
      <c r="J1693" s="509">
        <f t="shared" si="154"/>
        <v>0</v>
      </c>
      <c r="K1693" s="509"/>
      <c r="L1693" s="513"/>
      <c r="M1693" s="509">
        <f t="shared" si="155"/>
        <v>0</v>
      </c>
      <c r="N1693" s="513"/>
      <c r="O1693" s="509">
        <f t="shared" si="156"/>
        <v>0</v>
      </c>
      <c r="P1693" s="509">
        <f t="shared" si="157"/>
        <v>0</v>
      </c>
      <c r="Q1693" s="471"/>
    </row>
    <row r="1694" spans="3:17">
      <c r="C1694" s="505">
        <f>IF(D1649="","-",+C1693+1)</f>
        <v>2054</v>
      </c>
      <c r="D1694" s="469">
        <f t="shared" si="158"/>
        <v>0</v>
      </c>
      <c r="E1694" s="511">
        <f t="shared" si="159"/>
        <v>0</v>
      </c>
      <c r="F1694" s="511">
        <f t="shared" si="152"/>
        <v>0</v>
      </c>
      <c r="G1694" s="469">
        <f t="shared" si="153"/>
        <v>0</v>
      </c>
      <c r="H1694" s="506">
        <f>+J1650*G1694+E1694</f>
        <v>0</v>
      </c>
      <c r="I1694" s="512">
        <f>+J1651*G1694+E1694</f>
        <v>0</v>
      </c>
      <c r="J1694" s="509">
        <f t="shared" si="154"/>
        <v>0</v>
      </c>
      <c r="K1694" s="509"/>
      <c r="L1694" s="513"/>
      <c r="M1694" s="509">
        <f t="shared" si="155"/>
        <v>0</v>
      </c>
      <c r="N1694" s="513"/>
      <c r="O1694" s="509">
        <f t="shared" si="156"/>
        <v>0</v>
      </c>
      <c r="P1694" s="509">
        <f t="shared" si="157"/>
        <v>0</v>
      </c>
      <c r="Q1694" s="471"/>
    </row>
    <row r="1695" spans="3:17">
      <c r="C1695" s="505">
        <f>IF(D1649="","-",+C1694+1)</f>
        <v>2055</v>
      </c>
      <c r="D1695" s="469">
        <f t="shared" si="158"/>
        <v>0</v>
      </c>
      <c r="E1695" s="511">
        <f t="shared" si="159"/>
        <v>0</v>
      </c>
      <c r="F1695" s="511">
        <f t="shared" si="152"/>
        <v>0</v>
      </c>
      <c r="G1695" s="469">
        <f t="shared" si="153"/>
        <v>0</v>
      </c>
      <c r="H1695" s="506">
        <f>+J1650*G1695+E1695</f>
        <v>0</v>
      </c>
      <c r="I1695" s="512">
        <f>+J1651*G1695+E1695</f>
        <v>0</v>
      </c>
      <c r="J1695" s="509">
        <f t="shared" si="154"/>
        <v>0</v>
      </c>
      <c r="K1695" s="509"/>
      <c r="L1695" s="513"/>
      <c r="M1695" s="509">
        <f t="shared" si="155"/>
        <v>0</v>
      </c>
      <c r="N1695" s="513"/>
      <c r="O1695" s="509">
        <f t="shared" si="156"/>
        <v>0</v>
      </c>
      <c r="P1695" s="509">
        <f t="shared" si="157"/>
        <v>0</v>
      </c>
      <c r="Q1695" s="471"/>
    </row>
    <row r="1696" spans="3:17">
      <c r="C1696" s="505">
        <f>IF(D1649="","-",+C1695+1)</f>
        <v>2056</v>
      </c>
      <c r="D1696" s="469">
        <f t="shared" si="158"/>
        <v>0</v>
      </c>
      <c r="E1696" s="511">
        <f t="shared" si="159"/>
        <v>0</v>
      </c>
      <c r="F1696" s="511">
        <f t="shared" si="152"/>
        <v>0</v>
      </c>
      <c r="G1696" s="469">
        <f t="shared" si="153"/>
        <v>0</v>
      </c>
      <c r="H1696" s="506">
        <f>+J1650*G1696+E1696</f>
        <v>0</v>
      </c>
      <c r="I1696" s="512">
        <f>+J1651*G1696+E1696</f>
        <v>0</v>
      </c>
      <c r="J1696" s="509">
        <f t="shared" si="154"/>
        <v>0</v>
      </c>
      <c r="K1696" s="509"/>
      <c r="L1696" s="513"/>
      <c r="M1696" s="509">
        <f t="shared" si="155"/>
        <v>0</v>
      </c>
      <c r="N1696" s="513"/>
      <c r="O1696" s="509">
        <f t="shared" si="156"/>
        <v>0</v>
      </c>
      <c r="P1696" s="509">
        <f t="shared" si="157"/>
        <v>0</v>
      </c>
      <c r="Q1696" s="471"/>
    </row>
    <row r="1697" spans="3:17">
      <c r="C1697" s="505">
        <f>IF(D1649="","-",+C1696+1)</f>
        <v>2057</v>
      </c>
      <c r="D1697" s="469">
        <f t="shared" si="158"/>
        <v>0</v>
      </c>
      <c r="E1697" s="511">
        <f t="shared" si="159"/>
        <v>0</v>
      </c>
      <c r="F1697" s="511">
        <f t="shared" si="152"/>
        <v>0</v>
      </c>
      <c r="G1697" s="469">
        <f t="shared" si="153"/>
        <v>0</v>
      </c>
      <c r="H1697" s="506">
        <f>+J1650*G1697+E1697</f>
        <v>0</v>
      </c>
      <c r="I1697" s="512">
        <f>+J1651*G1697+E1697</f>
        <v>0</v>
      </c>
      <c r="J1697" s="509">
        <f t="shared" si="154"/>
        <v>0</v>
      </c>
      <c r="K1697" s="509"/>
      <c r="L1697" s="513"/>
      <c r="M1697" s="509">
        <f t="shared" si="155"/>
        <v>0</v>
      </c>
      <c r="N1697" s="513"/>
      <c r="O1697" s="509">
        <f t="shared" si="156"/>
        <v>0</v>
      </c>
      <c r="P1697" s="509">
        <f t="shared" si="157"/>
        <v>0</v>
      </c>
      <c r="Q1697" s="471"/>
    </row>
    <row r="1698" spans="3:17">
      <c r="C1698" s="505">
        <f>IF(D1649="","-",+C1697+1)</f>
        <v>2058</v>
      </c>
      <c r="D1698" s="469">
        <f t="shared" si="158"/>
        <v>0</v>
      </c>
      <c r="E1698" s="511">
        <f t="shared" si="159"/>
        <v>0</v>
      </c>
      <c r="F1698" s="511">
        <f t="shared" si="152"/>
        <v>0</v>
      </c>
      <c r="G1698" s="469">
        <f t="shared" si="153"/>
        <v>0</v>
      </c>
      <c r="H1698" s="506">
        <f>+J1650*G1698+E1698</f>
        <v>0</v>
      </c>
      <c r="I1698" s="512">
        <f>+J1651*G1698+E1698</f>
        <v>0</v>
      </c>
      <c r="J1698" s="509">
        <f t="shared" si="154"/>
        <v>0</v>
      </c>
      <c r="K1698" s="509"/>
      <c r="L1698" s="513"/>
      <c r="M1698" s="509">
        <f t="shared" si="155"/>
        <v>0</v>
      </c>
      <c r="N1698" s="513"/>
      <c r="O1698" s="509">
        <f t="shared" si="156"/>
        <v>0</v>
      </c>
      <c r="P1698" s="509">
        <f t="shared" si="157"/>
        <v>0</v>
      </c>
      <c r="Q1698" s="471"/>
    </row>
    <row r="1699" spans="3:17">
      <c r="C1699" s="505">
        <f>IF(D1649="","-",+C1698+1)</f>
        <v>2059</v>
      </c>
      <c r="D1699" s="469">
        <f t="shared" si="158"/>
        <v>0</v>
      </c>
      <c r="E1699" s="511">
        <f t="shared" si="159"/>
        <v>0</v>
      </c>
      <c r="F1699" s="511">
        <f t="shared" si="152"/>
        <v>0</v>
      </c>
      <c r="G1699" s="469">
        <f t="shared" si="153"/>
        <v>0</v>
      </c>
      <c r="H1699" s="506">
        <f>+J1650*G1699+E1699</f>
        <v>0</v>
      </c>
      <c r="I1699" s="512">
        <f>+J1651*G1699+E1699</f>
        <v>0</v>
      </c>
      <c r="J1699" s="509">
        <f t="shared" si="154"/>
        <v>0</v>
      </c>
      <c r="K1699" s="509"/>
      <c r="L1699" s="513"/>
      <c r="M1699" s="509">
        <f t="shared" si="155"/>
        <v>0</v>
      </c>
      <c r="N1699" s="513"/>
      <c r="O1699" s="509">
        <f t="shared" si="156"/>
        <v>0</v>
      </c>
      <c r="P1699" s="509">
        <f t="shared" si="157"/>
        <v>0</v>
      </c>
      <c r="Q1699" s="471"/>
    </row>
    <row r="1700" spans="3:17">
      <c r="C1700" s="505">
        <f>IF(D1649="","-",+C1699+1)</f>
        <v>2060</v>
      </c>
      <c r="D1700" s="469">
        <f t="shared" si="158"/>
        <v>0</v>
      </c>
      <c r="E1700" s="511">
        <f t="shared" si="159"/>
        <v>0</v>
      </c>
      <c r="F1700" s="511">
        <f t="shared" si="152"/>
        <v>0</v>
      </c>
      <c r="G1700" s="469">
        <f t="shared" si="153"/>
        <v>0</v>
      </c>
      <c r="H1700" s="506">
        <f>+J1650*G1700+E1700</f>
        <v>0</v>
      </c>
      <c r="I1700" s="512">
        <f>+J1651*G1700+E1700</f>
        <v>0</v>
      </c>
      <c r="J1700" s="509">
        <f t="shared" si="154"/>
        <v>0</v>
      </c>
      <c r="K1700" s="509"/>
      <c r="L1700" s="513"/>
      <c r="M1700" s="509">
        <f t="shared" si="155"/>
        <v>0</v>
      </c>
      <c r="N1700" s="513"/>
      <c r="O1700" s="509">
        <f t="shared" si="156"/>
        <v>0</v>
      </c>
      <c r="P1700" s="509">
        <f t="shared" si="157"/>
        <v>0</v>
      </c>
      <c r="Q1700" s="471"/>
    </row>
    <row r="1701" spans="3:17">
      <c r="C1701" s="505">
        <f>IF(D1649="","-",+C1700+1)</f>
        <v>2061</v>
      </c>
      <c r="D1701" s="469">
        <f t="shared" si="158"/>
        <v>0</v>
      </c>
      <c r="E1701" s="511">
        <f t="shared" si="159"/>
        <v>0</v>
      </c>
      <c r="F1701" s="511">
        <f t="shared" si="152"/>
        <v>0</v>
      </c>
      <c r="G1701" s="469">
        <f t="shared" si="153"/>
        <v>0</v>
      </c>
      <c r="H1701" s="506">
        <f>+J1650*G1701+E1701</f>
        <v>0</v>
      </c>
      <c r="I1701" s="512">
        <f>+J1651*G1701+E1701</f>
        <v>0</v>
      </c>
      <c r="J1701" s="509">
        <f t="shared" si="154"/>
        <v>0</v>
      </c>
      <c r="K1701" s="509"/>
      <c r="L1701" s="513"/>
      <c r="M1701" s="509">
        <f t="shared" si="155"/>
        <v>0</v>
      </c>
      <c r="N1701" s="513"/>
      <c r="O1701" s="509">
        <f t="shared" si="156"/>
        <v>0</v>
      </c>
      <c r="P1701" s="509">
        <f t="shared" si="157"/>
        <v>0</v>
      </c>
      <c r="Q1701" s="471"/>
    </row>
    <row r="1702" spans="3:17">
      <c r="C1702" s="505">
        <f>IF(D1649="","-",+C1701+1)</f>
        <v>2062</v>
      </c>
      <c r="D1702" s="469">
        <f t="shared" si="158"/>
        <v>0</v>
      </c>
      <c r="E1702" s="511">
        <f t="shared" si="159"/>
        <v>0</v>
      </c>
      <c r="F1702" s="511">
        <f t="shared" si="152"/>
        <v>0</v>
      </c>
      <c r="G1702" s="469">
        <f t="shared" si="153"/>
        <v>0</v>
      </c>
      <c r="H1702" s="506">
        <f>+J1650*G1702+E1702</f>
        <v>0</v>
      </c>
      <c r="I1702" s="512">
        <f>+J1651*G1702+E1702</f>
        <v>0</v>
      </c>
      <c r="J1702" s="509">
        <f t="shared" si="154"/>
        <v>0</v>
      </c>
      <c r="K1702" s="509"/>
      <c r="L1702" s="513"/>
      <c r="M1702" s="509">
        <f t="shared" si="155"/>
        <v>0</v>
      </c>
      <c r="N1702" s="513"/>
      <c r="O1702" s="509">
        <f t="shared" si="156"/>
        <v>0</v>
      </c>
      <c r="P1702" s="509">
        <f t="shared" si="157"/>
        <v>0</v>
      </c>
      <c r="Q1702" s="471"/>
    </row>
    <row r="1703" spans="3:17">
      <c r="C1703" s="505">
        <f>IF(D1649="","-",+C1702+1)</f>
        <v>2063</v>
      </c>
      <c r="D1703" s="469">
        <f t="shared" si="158"/>
        <v>0</v>
      </c>
      <c r="E1703" s="511">
        <f t="shared" si="159"/>
        <v>0</v>
      </c>
      <c r="F1703" s="511">
        <f t="shared" si="152"/>
        <v>0</v>
      </c>
      <c r="G1703" s="469">
        <f t="shared" si="153"/>
        <v>0</v>
      </c>
      <c r="H1703" s="506">
        <f>+J1650*G1703+E1703</f>
        <v>0</v>
      </c>
      <c r="I1703" s="512">
        <f>+J1651*G1703+E1703</f>
        <v>0</v>
      </c>
      <c r="J1703" s="509">
        <f t="shared" si="154"/>
        <v>0</v>
      </c>
      <c r="K1703" s="509"/>
      <c r="L1703" s="513"/>
      <c r="M1703" s="509">
        <f t="shared" si="155"/>
        <v>0</v>
      </c>
      <c r="N1703" s="513"/>
      <c r="O1703" s="509">
        <f t="shared" si="156"/>
        <v>0</v>
      </c>
      <c r="P1703" s="509">
        <f t="shared" si="157"/>
        <v>0</v>
      </c>
      <c r="Q1703" s="471"/>
    </row>
    <row r="1704" spans="3:17">
      <c r="C1704" s="505">
        <f>IF(D1649="","-",+C1703+1)</f>
        <v>2064</v>
      </c>
      <c r="D1704" s="469">
        <f t="shared" si="158"/>
        <v>0</v>
      </c>
      <c r="E1704" s="511">
        <f t="shared" si="159"/>
        <v>0</v>
      </c>
      <c r="F1704" s="511">
        <f t="shared" si="152"/>
        <v>0</v>
      </c>
      <c r="G1704" s="469">
        <f t="shared" si="153"/>
        <v>0</v>
      </c>
      <c r="H1704" s="506">
        <f>+J1650*G1704+E1704</f>
        <v>0</v>
      </c>
      <c r="I1704" s="512">
        <f>+J1651*G1704+E1704</f>
        <v>0</v>
      </c>
      <c r="J1704" s="509">
        <f t="shared" si="154"/>
        <v>0</v>
      </c>
      <c r="K1704" s="509"/>
      <c r="L1704" s="513"/>
      <c r="M1704" s="509">
        <f t="shared" si="155"/>
        <v>0</v>
      </c>
      <c r="N1704" s="513"/>
      <c r="O1704" s="509">
        <f t="shared" si="156"/>
        <v>0</v>
      </c>
      <c r="P1704" s="509">
        <f t="shared" si="157"/>
        <v>0</v>
      </c>
      <c r="Q1704" s="471"/>
    </row>
    <row r="1705" spans="3:17">
      <c r="C1705" s="505">
        <f>IF(D1649="","-",+C1704+1)</f>
        <v>2065</v>
      </c>
      <c r="D1705" s="469">
        <f t="shared" si="158"/>
        <v>0</v>
      </c>
      <c r="E1705" s="511">
        <f t="shared" si="159"/>
        <v>0</v>
      </c>
      <c r="F1705" s="511">
        <f t="shared" si="152"/>
        <v>0</v>
      </c>
      <c r="G1705" s="469">
        <f t="shared" si="153"/>
        <v>0</v>
      </c>
      <c r="H1705" s="506">
        <f>+J1650*G1705+E1705</f>
        <v>0</v>
      </c>
      <c r="I1705" s="512">
        <f>+J1651*G1705+E1705</f>
        <v>0</v>
      </c>
      <c r="J1705" s="509">
        <f t="shared" si="154"/>
        <v>0</v>
      </c>
      <c r="K1705" s="509"/>
      <c r="L1705" s="513"/>
      <c r="M1705" s="509">
        <f t="shared" si="155"/>
        <v>0</v>
      </c>
      <c r="N1705" s="513"/>
      <c r="O1705" s="509">
        <f t="shared" si="156"/>
        <v>0</v>
      </c>
      <c r="P1705" s="509">
        <f t="shared" si="157"/>
        <v>0</v>
      </c>
      <c r="Q1705" s="471"/>
    </row>
    <row r="1706" spans="3:17">
      <c r="C1706" s="505">
        <f>IF(D1649="","-",+C1705+1)</f>
        <v>2066</v>
      </c>
      <c r="D1706" s="469">
        <f t="shared" si="158"/>
        <v>0</v>
      </c>
      <c r="E1706" s="511">
        <f t="shared" si="159"/>
        <v>0</v>
      </c>
      <c r="F1706" s="511">
        <f t="shared" si="152"/>
        <v>0</v>
      </c>
      <c r="G1706" s="469">
        <f t="shared" si="153"/>
        <v>0</v>
      </c>
      <c r="H1706" s="506">
        <f>+J1650*G1706+E1706</f>
        <v>0</v>
      </c>
      <c r="I1706" s="512">
        <f>+J1651*G1706+E1706</f>
        <v>0</v>
      </c>
      <c r="J1706" s="509">
        <f t="shared" si="154"/>
        <v>0</v>
      </c>
      <c r="K1706" s="509"/>
      <c r="L1706" s="513"/>
      <c r="M1706" s="509">
        <f t="shared" si="155"/>
        <v>0</v>
      </c>
      <c r="N1706" s="513"/>
      <c r="O1706" s="509">
        <f t="shared" si="156"/>
        <v>0</v>
      </c>
      <c r="P1706" s="509">
        <f t="shared" si="157"/>
        <v>0</v>
      </c>
      <c r="Q1706" s="471"/>
    </row>
    <row r="1707" spans="3:17">
      <c r="C1707" s="505">
        <f>IF(D1649="","-",+C1706+1)</f>
        <v>2067</v>
      </c>
      <c r="D1707" s="469">
        <f t="shared" si="158"/>
        <v>0</v>
      </c>
      <c r="E1707" s="511">
        <f t="shared" si="159"/>
        <v>0</v>
      </c>
      <c r="F1707" s="511">
        <f t="shared" si="152"/>
        <v>0</v>
      </c>
      <c r="G1707" s="469">
        <f t="shared" si="153"/>
        <v>0</v>
      </c>
      <c r="H1707" s="506">
        <f>+J1650*G1707+E1707</f>
        <v>0</v>
      </c>
      <c r="I1707" s="512">
        <f>+J1651*G1707+E1707</f>
        <v>0</v>
      </c>
      <c r="J1707" s="509">
        <f t="shared" si="154"/>
        <v>0</v>
      </c>
      <c r="K1707" s="509"/>
      <c r="L1707" s="513"/>
      <c r="M1707" s="509">
        <f t="shared" si="155"/>
        <v>0</v>
      </c>
      <c r="N1707" s="513"/>
      <c r="O1707" s="509">
        <f t="shared" si="156"/>
        <v>0</v>
      </c>
      <c r="P1707" s="509">
        <f t="shared" si="157"/>
        <v>0</v>
      </c>
      <c r="Q1707" s="471"/>
    </row>
    <row r="1708" spans="3:17">
      <c r="C1708" s="505">
        <f>IF(D1649="","-",+C1707+1)</f>
        <v>2068</v>
      </c>
      <c r="D1708" s="469">
        <f t="shared" si="158"/>
        <v>0</v>
      </c>
      <c r="E1708" s="511">
        <f t="shared" si="159"/>
        <v>0</v>
      </c>
      <c r="F1708" s="511">
        <f t="shared" si="152"/>
        <v>0</v>
      </c>
      <c r="G1708" s="469">
        <f t="shared" si="153"/>
        <v>0</v>
      </c>
      <c r="H1708" s="506">
        <f>+J1650*G1708+E1708</f>
        <v>0</v>
      </c>
      <c r="I1708" s="512">
        <f>+J1651*G1708+E1708</f>
        <v>0</v>
      </c>
      <c r="J1708" s="509">
        <f t="shared" si="154"/>
        <v>0</v>
      </c>
      <c r="K1708" s="509"/>
      <c r="L1708" s="513"/>
      <c r="M1708" s="509">
        <f t="shared" si="155"/>
        <v>0</v>
      </c>
      <c r="N1708" s="513"/>
      <c r="O1708" s="509">
        <f t="shared" si="156"/>
        <v>0</v>
      </c>
      <c r="P1708" s="509">
        <f t="shared" si="157"/>
        <v>0</v>
      </c>
      <c r="Q1708" s="471"/>
    </row>
    <row r="1709" spans="3:17">
      <c r="C1709" s="505">
        <f>IF(D1649="","-",+C1708+1)</f>
        <v>2069</v>
      </c>
      <c r="D1709" s="469">
        <f t="shared" si="158"/>
        <v>0</v>
      </c>
      <c r="E1709" s="511">
        <f t="shared" si="159"/>
        <v>0</v>
      </c>
      <c r="F1709" s="511">
        <f t="shared" si="152"/>
        <v>0</v>
      </c>
      <c r="G1709" s="469">
        <f t="shared" si="153"/>
        <v>0</v>
      </c>
      <c r="H1709" s="506">
        <f>+J1650*G1709+E1709</f>
        <v>0</v>
      </c>
      <c r="I1709" s="512">
        <f>+J1651*G1709+E1709</f>
        <v>0</v>
      </c>
      <c r="J1709" s="509">
        <f t="shared" si="154"/>
        <v>0</v>
      </c>
      <c r="K1709" s="509"/>
      <c r="L1709" s="513"/>
      <c r="M1709" s="509">
        <f t="shared" si="155"/>
        <v>0</v>
      </c>
      <c r="N1709" s="513"/>
      <c r="O1709" s="509">
        <f t="shared" si="156"/>
        <v>0</v>
      </c>
      <c r="P1709" s="509">
        <f t="shared" si="157"/>
        <v>0</v>
      </c>
      <c r="Q1709" s="471"/>
    </row>
    <row r="1710" spans="3:17">
      <c r="C1710" s="505">
        <f>IF(D1649="","-",+C1709+1)</f>
        <v>2070</v>
      </c>
      <c r="D1710" s="469">
        <f t="shared" si="158"/>
        <v>0</v>
      </c>
      <c r="E1710" s="511">
        <f t="shared" si="159"/>
        <v>0</v>
      </c>
      <c r="F1710" s="511">
        <f t="shared" si="152"/>
        <v>0</v>
      </c>
      <c r="G1710" s="469">
        <f t="shared" si="153"/>
        <v>0</v>
      </c>
      <c r="H1710" s="506">
        <f>+J1650*G1710+E1710</f>
        <v>0</v>
      </c>
      <c r="I1710" s="512">
        <f>+J1651*G1710+E1710</f>
        <v>0</v>
      </c>
      <c r="J1710" s="509">
        <f t="shared" si="154"/>
        <v>0</v>
      </c>
      <c r="K1710" s="509"/>
      <c r="L1710" s="513"/>
      <c r="M1710" s="509">
        <f t="shared" si="155"/>
        <v>0</v>
      </c>
      <c r="N1710" s="513"/>
      <c r="O1710" s="509">
        <f t="shared" si="156"/>
        <v>0</v>
      </c>
      <c r="P1710" s="509">
        <f t="shared" si="157"/>
        <v>0</v>
      </c>
      <c r="Q1710" s="471"/>
    </row>
    <row r="1711" spans="3:17">
      <c r="C1711" s="505">
        <f>IF(D1649="","-",+C1710+1)</f>
        <v>2071</v>
      </c>
      <c r="D1711" s="469">
        <f t="shared" si="158"/>
        <v>0</v>
      </c>
      <c r="E1711" s="511">
        <f t="shared" si="159"/>
        <v>0</v>
      </c>
      <c r="F1711" s="511">
        <f t="shared" si="152"/>
        <v>0</v>
      </c>
      <c r="G1711" s="469">
        <f t="shared" si="153"/>
        <v>0</v>
      </c>
      <c r="H1711" s="506">
        <f>+J1650*G1711+E1711</f>
        <v>0</v>
      </c>
      <c r="I1711" s="512">
        <f>+J1651*G1711+E1711</f>
        <v>0</v>
      </c>
      <c r="J1711" s="509">
        <f t="shared" si="154"/>
        <v>0</v>
      </c>
      <c r="K1711" s="509"/>
      <c r="L1711" s="513"/>
      <c r="M1711" s="509">
        <f t="shared" si="155"/>
        <v>0</v>
      </c>
      <c r="N1711" s="513"/>
      <c r="O1711" s="509">
        <f t="shared" si="156"/>
        <v>0</v>
      </c>
      <c r="P1711" s="509">
        <f t="shared" si="157"/>
        <v>0</v>
      </c>
      <c r="Q1711" s="471"/>
    </row>
    <row r="1712" spans="3:17">
      <c r="C1712" s="505">
        <f>IF(D1649="","-",+C1711+1)</f>
        <v>2072</v>
      </c>
      <c r="D1712" s="469">
        <f t="shared" si="158"/>
        <v>0</v>
      </c>
      <c r="E1712" s="511">
        <f t="shared" si="159"/>
        <v>0</v>
      </c>
      <c r="F1712" s="511">
        <f t="shared" si="152"/>
        <v>0</v>
      </c>
      <c r="G1712" s="469">
        <f t="shared" si="153"/>
        <v>0</v>
      </c>
      <c r="H1712" s="506">
        <f>+J1650*G1712+E1712</f>
        <v>0</v>
      </c>
      <c r="I1712" s="512">
        <f>+J1651*G1712+E1712</f>
        <v>0</v>
      </c>
      <c r="J1712" s="509">
        <f t="shared" si="154"/>
        <v>0</v>
      </c>
      <c r="K1712" s="509"/>
      <c r="L1712" s="513"/>
      <c r="M1712" s="509">
        <f t="shared" si="155"/>
        <v>0</v>
      </c>
      <c r="N1712" s="513"/>
      <c r="O1712" s="509">
        <f t="shared" si="156"/>
        <v>0</v>
      </c>
      <c r="P1712" s="509">
        <f t="shared" si="157"/>
        <v>0</v>
      </c>
      <c r="Q1712" s="471"/>
    </row>
    <row r="1713" spans="1:17">
      <c r="C1713" s="505">
        <f>IF(D1649="","-",+C1712+1)</f>
        <v>2073</v>
      </c>
      <c r="D1713" s="469">
        <f t="shared" si="158"/>
        <v>0</v>
      </c>
      <c r="E1713" s="511">
        <f t="shared" si="159"/>
        <v>0</v>
      </c>
      <c r="F1713" s="511">
        <f t="shared" si="152"/>
        <v>0</v>
      </c>
      <c r="G1713" s="469">
        <f t="shared" si="153"/>
        <v>0</v>
      </c>
      <c r="H1713" s="506">
        <f>+J1650*G1713+E1713</f>
        <v>0</v>
      </c>
      <c r="I1713" s="512">
        <f>+J1651*G1713+E1713</f>
        <v>0</v>
      </c>
      <c r="J1713" s="509">
        <f t="shared" si="154"/>
        <v>0</v>
      </c>
      <c r="K1713" s="509"/>
      <c r="L1713" s="513"/>
      <c r="M1713" s="509">
        <f t="shared" si="155"/>
        <v>0</v>
      </c>
      <c r="N1713" s="513"/>
      <c r="O1713" s="509">
        <f t="shared" si="156"/>
        <v>0</v>
      </c>
      <c r="P1713" s="509">
        <f t="shared" si="157"/>
        <v>0</v>
      </c>
      <c r="Q1713" s="471"/>
    </row>
    <row r="1714" spans="1:17" ht="13.5" thickBot="1">
      <c r="C1714" s="515">
        <f>IF(D1649="","-",+C1713+1)</f>
        <v>2074</v>
      </c>
      <c r="D1714" s="516">
        <f t="shared" si="158"/>
        <v>0</v>
      </c>
      <c r="E1714" s="976">
        <f t="shared" si="159"/>
        <v>0</v>
      </c>
      <c r="F1714" s="517">
        <f t="shared" si="152"/>
        <v>0</v>
      </c>
      <c r="G1714" s="516">
        <f t="shared" si="153"/>
        <v>0</v>
      </c>
      <c r="H1714" s="518">
        <f>+J1650*G1714+E1714</f>
        <v>0</v>
      </c>
      <c r="I1714" s="518">
        <f>+J1651*G1714+E1714</f>
        <v>0</v>
      </c>
      <c r="J1714" s="519">
        <f t="shared" si="154"/>
        <v>0</v>
      </c>
      <c r="K1714" s="509"/>
      <c r="L1714" s="520"/>
      <c r="M1714" s="519">
        <f t="shared" si="155"/>
        <v>0</v>
      </c>
      <c r="N1714" s="520"/>
      <c r="O1714" s="519">
        <f t="shared" si="156"/>
        <v>0</v>
      </c>
      <c r="P1714" s="519">
        <f t="shared" si="157"/>
        <v>0</v>
      </c>
      <c r="Q1714" s="471"/>
    </row>
    <row r="1715" spans="1:17">
      <c r="C1715" s="469" t="s">
        <v>288</v>
      </c>
      <c r="D1715" s="467"/>
      <c r="E1715" s="467">
        <f>SUM(E1655:E1714)</f>
        <v>0</v>
      </c>
      <c r="F1715" s="467"/>
      <c r="G1715" s="467"/>
      <c r="H1715" s="467">
        <f>SUM(H1655:H1714)</f>
        <v>0</v>
      </c>
      <c r="I1715" s="467">
        <f>SUM(I1655:I1714)</f>
        <v>0</v>
      </c>
      <c r="J1715" s="467">
        <f>SUM(J1655:J1714)</f>
        <v>0</v>
      </c>
      <c r="K1715" s="467"/>
      <c r="L1715" s="467"/>
      <c r="M1715" s="467"/>
      <c r="N1715" s="467"/>
      <c r="O1715" s="467"/>
      <c r="Q1715" s="467"/>
    </row>
    <row r="1716" spans="1:17">
      <c r="D1716" s="79"/>
      <c r="E1716" s="4"/>
      <c r="F1716" s="4"/>
      <c r="G1716" s="4"/>
      <c r="H1716" s="4"/>
      <c r="I1716" s="452"/>
      <c r="J1716" s="452"/>
      <c r="K1716" s="467"/>
      <c r="L1716" s="452"/>
      <c r="M1716" s="452"/>
      <c r="N1716" s="452"/>
      <c r="O1716" s="452"/>
      <c r="Q1716" s="467"/>
    </row>
    <row r="1717" spans="1:17">
      <c r="C1717" s="4" t="s">
        <v>595</v>
      </c>
      <c r="D1717" s="79"/>
      <c r="E1717" s="4"/>
      <c r="F1717" s="4"/>
      <c r="G1717" s="4"/>
      <c r="H1717" s="4"/>
      <c r="I1717" s="452"/>
      <c r="J1717" s="452"/>
      <c r="K1717" s="467"/>
      <c r="L1717" s="452"/>
      <c r="M1717" s="452"/>
      <c r="N1717" s="452"/>
      <c r="O1717" s="452"/>
      <c r="Q1717" s="467"/>
    </row>
    <row r="1718" spans="1:17">
      <c r="D1718" s="79"/>
      <c r="E1718" s="4"/>
      <c r="F1718" s="4"/>
      <c r="G1718" s="4"/>
      <c r="H1718" s="4"/>
      <c r="I1718" s="452"/>
      <c r="J1718" s="452"/>
      <c r="K1718" s="467"/>
      <c r="L1718" s="452"/>
      <c r="M1718" s="452"/>
      <c r="N1718" s="452"/>
      <c r="O1718" s="452"/>
      <c r="Q1718" s="467"/>
    </row>
    <row r="1719" spans="1:17">
      <c r="C1719" s="4" t="s">
        <v>596</v>
      </c>
      <c r="D1719" s="469"/>
      <c r="E1719" s="469"/>
      <c r="F1719" s="469"/>
      <c r="G1719" s="469"/>
      <c r="H1719" s="467"/>
      <c r="I1719" s="467"/>
      <c r="J1719" s="471"/>
      <c r="K1719" s="471"/>
      <c r="L1719" s="471"/>
      <c r="M1719" s="471"/>
      <c r="N1719" s="471"/>
      <c r="O1719" s="471"/>
      <c r="Q1719" s="471"/>
    </row>
    <row r="1720" spans="1:17">
      <c r="C1720" s="4" t="s">
        <v>476</v>
      </c>
      <c r="D1720" s="469"/>
      <c r="E1720" s="469"/>
      <c r="F1720" s="469"/>
      <c r="G1720" s="469"/>
      <c r="H1720" s="467"/>
      <c r="I1720" s="467"/>
      <c r="J1720" s="471"/>
      <c r="K1720" s="471"/>
      <c r="L1720" s="471"/>
      <c r="M1720" s="471"/>
      <c r="N1720" s="471"/>
      <c r="O1720" s="471"/>
      <c r="Q1720" s="471"/>
    </row>
    <row r="1721" spans="1:17">
      <c r="C1721" s="4" t="s">
        <v>289</v>
      </c>
      <c r="D1721" s="469"/>
      <c r="E1721" s="469"/>
      <c r="F1721" s="469"/>
      <c r="G1721" s="469"/>
      <c r="H1721" s="467"/>
      <c r="I1721" s="467"/>
      <c r="J1721" s="471"/>
      <c r="K1721" s="471"/>
      <c r="L1721" s="471"/>
      <c r="M1721" s="471"/>
      <c r="N1721" s="471"/>
      <c r="O1721" s="471"/>
      <c r="Q1721" s="471"/>
    </row>
    <row r="1722" spans="1:17" ht="20.25">
      <c r="A1722" s="411" t="s">
        <v>762</v>
      </c>
      <c r="B1722" s="4"/>
      <c r="C1722" s="4"/>
      <c r="D1722" s="79"/>
      <c r="E1722" s="4"/>
      <c r="F1722" s="81"/>
      <c r="G1722" s="81"/>
      <c r="H1722" s="4"/>
      <c r="I1722" s="452"/>
      <c r="L1722" s="11"/>
      <c r="M1722" s="11"/>
      <c r="N1722" s="11"/>
      <c r="O1722" s="11" t="str">
        <f>"Page "&amp;SUM(Q$3:Q1722)&amp;" of "</f>
        <v xml:space="preserve">Page 21 of </v>
      </c>
      <c r="P1722" s="412">
        <f>COUNT(Q$8:Q$58212)</f>
        <v>23</v>
      </c>
      <c r="Q1722" s="539">
        <v>1</v>
      </c>
    </row>
    <row r="1723" spans="1:17">
      <c r="B1723" s="4"/>
      <c r="C1723" s="4"/>
      <c r="D1723" s="79"/>
      <c r="E1723" s="4"/>
      <c r="F1723" s="4"/>
      <c r="G1723" s="4"/>
      <c r="H1723" s="4"/>
      <c r="I1723" s="452"/>
      <c r="J1723" s="4"/>
      <c r="K1723" s="4"/>
    </row>
    <row r="1724" spans="1:17" ht="18">
      <c r="B1724" s="413" t="s">
        <v>174</v>
      </c>
      <c r="C1724" s="472" t="s">
        <v>290</v>
      </c>
      <c r="D1724" s="79"/>
      <c r="E1724" s="4"/>
      <c r="F1724" s="4"/>
      <c r="G1724" s="4"/>
      <c r="H1724" s="4"/>
      <c r="I1724" s="452"/>
      <c r="J1724" s="452"/>
      <c r="K1724" s="467"/>
      <c r="L1724" s="452"/>
      <c r="M1724" s="452"/>
      <c r="N1724" s="452"/>
      <c r="O1724" s="452"/>
      <c r="Q1724" s="467"/>
    </row>
    <row r="1725" spans="1:17" ht="18.75">
      <c r="B1725" s="413"/>
      <c r="C1725" s="13"/>
      <c r="D1725" s="79"/>
      <c r="E1725" s="4"/>
      <c r="F1725" s="4"/>
      <c r="G1725" s="4"/>
      <c r="H1725" s="4"/>
      <c r="I1725" s="452"/>
      <c r="J1725" s="452"/>
      <c r="K1725" s="467"/>
      <c r="L1725" s="452"/>
      <c r="M1725" s="452"/>
      <c r="N1725" s="452"/>
      <c r="O1725" s="452"/>
      <c r="Q1725" s="467"/>
    </row>
    <row r="1726" spans="1:17" ht="18.75">
      <c r="B1726" s="413"/>
      <c r="C1726" s="13" t="s">
        <v>291</v>
      </c>
      <c r="D1726" s="79"/>
      <c r="E1726" s="4"/>
      <c r="F1726" s="4"/>
      <c r="G1726" s="4"/>
      <c r="H1726" s="4"/>
      <c r="I1726" s="452"/>
      <c r="J1726" s="452"/>
      <c r="K1726" s="467"/>
      <c r="L1726" s="452"/>
      <c r="M1726" s="452"/>
      <c r="N1726" s="452"/>
      <c r="O1726" s="452"/>
      <c r="Q1726" s="467"/>
    </row>
    <row r="1727" spans="1:17" ht="15.75" thickBot="1">
      <c r="C1727" s="247"/>
      <c r="D1727" s="79"/>
      <c r="E1727" s="4"/>
      <c r="F1727" s="4"/>
      <c r="G1727" s="4"/>
      <c r="H1727" s="4"/>
      <c r="I1727" s="452"/>
      <c r="J1727" s="452"/>
      <c r="K1727" s="467"/>
      <c r="L1727" s="452"/>
      <c r="M1727" s="452"/>
      <c r="N1727" s="452"/>
      <c r="O1727" s="452"/>
      <c r="Q1727" s="467"/>
    </row>
    <row r="1728" spans="1:17" ht="15.75">
      <c r="C1728" s="414" t="s">
        <v>292</v>
      </c>
      <c r="D1728" s="79"/>
      <c r="E1728" s="4"/>
      <c r="F1728" s="4"/>
      <c r="G1728" s="4"/>
      <c r="H1728" s="635"/>
      <c r="I1728" s="4" t="s">
        <v>271</v>
      </c>
      <c r="J1728" s="4"/>
      <c r="K1728" s="4"/>
      <c r="L1728" s="540">
        <f>+J1734</f>
        <v>2025</v>
      </c>
      <c r="M1728" s="524" t="s">
        <v>254</v>
      </c>
      <c r="N1728" s="524" t="s">
        <v>255</v>
      </c>
      <c r="O1728" s="525" t="s">
        <v>256</v>
      </c>
    </row>
    <row r="1729" spans="1:17" ht="15.75">
      <c r="C1729" s="414"/>
      <c r="D1729" s="79"/>
      <c r="E1729" s="4"/>
      <c r="F1729" s="4"/>
      <c r="H1729" s="4"/>
      <c r="I1729" s="476"/>
      <c r="J1729" s="476"/>
      <c r="K1729" s="477"/>
      <c r="L1729" s="541" t="s">
        <v>455</v>
      </c>
      <c r="M1729" s="542">
        <f>VLOOKUP(J1734,C1741:P1800,10)</f>
        <v>86447.917351567987</v>
      </c>
      <c r="N1729" s="542">
        <f>VLOOKUP(J1734,C1741:P1800,12)</f>
        <v>86447.917351567987</v>
      </c>
      <c r="O1729" s="543">
        <f>+N1729-M1729</f>
        <v>0</v>
      </c>
      <c r="Q1729" s="477"/>
    </row>
    <row r="1730" spans="1:17">
      <c r="C1730" s="479" t="s">
        <v>293</v>
      </c>
      <c r="D1730" s="1276" t="s">
        <v>955</v>
      </c>
      <c r="E1730" s="1276"/>
      <c r="F1730" s="1276"/>
      <c r="G1730" s="1288" t="s">
        <v>114</v>
      </c>
      <c r="H1730" s="1288"/>
      <c r="I1730" s="1288"/>
      <c r="J1730" s="452"/>
      <c r="K1730" s="467"/>
      <c r="L1730" s="541" t="s">
        <v>456</v>
      </c>
      <c r="M1730" s="544">
        <f>VLOOKUP(J1734,C1741:P1800,6)</f>
        <v>89063.362874140541</v>
      </c>
      <c r="N1730" s="544">
        <f>VLOOKUP(J1734,C1741:P1800,7)</f>
        <v>89063.362874140541</v>
      </c>
      <c r="O1730" s="545">
        <f>+N1730-M1730</f>
        <v>0</v>
      </c>
      <c r="Q1730" s="467"/>
    </row>
    <row r="1731" spans="1:17" ht="13.5" thickBot="1">
      <c r="C1731" s="481"/>
      <c r="D1731" s="4" t="s">
        <v>114</v>
      </c>
      <c r="E1731" s="483"/>
      <c r="F1731" s="483"/>
      <c r="G1731" s="483"/>
      <c r="H1731" s="483"/>
      <c r="I1731" s="483"/>
      <c r="J1731" s="452"/>
      <c r="K1731" s="467"/>
      <c r="L1731" s="492" t="s">
        <v>457</v>
      </c>
      <c r="M1731" s="546">
        <f>+M1730-M1729</f>
        <v>2615.4455225725542</v>
      </c>
      <c r="N1731" s="546">
        <f>+N1730-N1729</f>
        <v>2615.4455225725542</v>
      </c>
      <c r="O1731" s="547">
        <f>+O1730-O1729</f>
        <v>0</v>
      </c>
      <c r="Q1731" s="467"/>
    </row>
    <row r="1732" spans="1:17" ht="13.5" thickBot="1">
      <c r="C1732" s="481"/>
      <c r="D1732" s="4"/>
      <c r="E1732" s="483"/>
      <c r="F1732" s="483"/>
      <c r="G1732" s="483"/>
      <c r="H1732" s="483"/>
      <c r="I1732" s="483"/>
      <c r="J1732" s="483"/>
      <c r="K1732" s="483"/>
      <c r="L1732" s="483"/>
      <c r="M1732" s="483"/>
      <c r="N1732" s="483"/>
      <c r="O1732" s="483"/>
      <c r="Q1732" s="483"/>
    </row>
    <row r="1733" spans="1:17" ht="13.5" thickBot="1">
      <c r="C1733" s="484" t="s">
        <v>294</v>
      </c>
      <c r="D1733" s="485"/>
      <c r="E1733" s="485"/>
      <c r="F1733" s="485"/>
      <c r="G1733" s="485"/>
      <c r="H1733" s="485"/>
      <c r="I1733" s="485"/>
      <c r="J1733" s="485"/>
      <c r="Q1733"/>
    </row>
    <row r="1734" spans="1:17" ht="15">
      <c r="A1734" s="977"/>
      <c r="C1734" s="487" t="s">
        <v>272</v>
      </c>
      <c r="D1734" s="926">
        <v>598618.88</v>
      </c>
      <c r="E1734" s="4" t="s">
        <v>273</v>
      </c>
      <c r="H1734" s="79"/>
      <c r="I1734" s="79"/>
      <c r="J1734" s="488">
        <f>$J$95</f>
        <v>2025</v>
      </c>
      <c r="K1734" s="135"/>
      <c r="L1734" s="1287" t="s">
        <v>274</v>
      </c>
      <c r="M1734" s="1287"/>
      <c r="N1734" s="1287"/>
      <c r="O1734" s="1287"/>
      <c r="Q1734" s="135"/>
    </row>
    <row r="1735" spans="1:17">
      <c r="A1735" s="977"/>
      <c r="C1735" s="487" t="s">
        <v>275</v>
      </c>
      <c r="D1735" s="636">
        <v>2018</v>
      </c>
      <c r="E1735" s="487" t="s">
        <v>276</v>
      </c>
      <c r="F1735" s="79"/>
      <c r="G1735" s="79"/>
      <c r="I1735"/>
      <c r="J1735" s="638">
        <v>0</v>
      </c>
      <c r="K1735" s="489"/>
      <c r="L1735" s="467" t="s">
        <v>475</v>
      </c>
      <c r="Q1735" s="489"/>
    </row>
    <row r="1736" spans="1:17">
      <c r="A1736" s="977"/>
      <c r="C1736" s="487" t="s">
        <v>277</v>
      </c>
      <c r="D1736" s="926">
        <v>6</v>
      </c>
      <c r="E1736" s="487" t="s">
        <v>278</v>
      </c>
      <c r="F1736" s="79"/>
      <c r="G1736" s="79"/>
      <c r="I1736"/>
      <c r="J1736" s="490">
        <f>$F$70</f>
        <v>0.14996626714737105</v>
      </c>
      <c r="K1736" s="81"/>
      <c r="L1736" s="4" t="str">
        <f>"          INPUT TRUE-UP ARR (WITH &amp; WITHOUT INCENTIVES) FROM EACH PRIOR YEAR"</f>
        <v xml:space="preserve">          INPUT TRUE-UP ARR (WITH &amp; WITHOUT INCENTIVES) FROM EACH PRIOR YEAR</v>
      </c>
      <c r="Q1736" s="81"/>
    </row>
    <row r="1737" spans="1:17">
      <c r="A1737" s="977"/>
      <c r="C1737" s="487" t="s">
        <v>279</v>
      </c>
      <c r="D1737" s="491">
        <f>H79</f>
        <v>42</v>
      </c>
      <c r="E1737" s="487" t="s">
        <v>280</v>
      </c>
      <c r="F1737" s="79"/>
      <c r="G1737" s="79"/>
      <c r="I1737"/>
      <c r="J1737" s="490">
        <f>IF(H1728="",J1736,$F$69)</f>
        <v>0.14996626714737105</v>
      </c>
      <c r="K1737" s="81"/>
      <c r="L1737" s="4" t="s">
        <v>362</v>
      </c>
      <c r="M1737" s="81"/>
      <c r="N1737" s="81"/>
      <c r="O1737" s="81"/>
      <c r="Q1737" s="81"/>
    </row>
    <row r="1738" spans="1:17" ht="13.5" thickBot="1">
      <c r="A1738" s="977"/>
      <c r="C1738" s="487" t="s">
        <v>281</v>
      </c>
      <c r="D1738" s="983" t="s">
        <v>923</v>
      </c>
      <c r="E1738" s="492" t="s">
        <v>282</v>
      </c>
      <c r="F1738" s="493"/>
      <c r="G1738" s="493"/>
      <c r="H1738" s="494"/>
      <c r="I1738" s="494"/>
      <c r="J1738" s="480">
        <f>IF(D1734=0,0,D1734/D1737)</f>
        <v>14252.830476190476</v>
      </c>
      <c r="K1738" s="467"/>
      <c r="L1738" s="467" t="s">
        <v>363</v>
      </c>
      <c r="M1738" s="467"/>
      <c r="N1738" s="467"/>
      <c r="O1738" s="467"/>
      <c r="Q1738" s="467"/>
    </row>
    <row r="1739" spans="1:17" ht="38.25">
      <c r="A1739" s="12"/>
      <c r="B1739" s="12"/>
      <c r="C1739" s="495" t="s">
        <v>272</v>
      </c>
      <c r="D1739" s="496" t="s">
        <v>283</v>
      </c>
      <c r="E1739" s="497" t="s">
        <v>284</v>
      </c>
      <c r="F1739" s="496" t="s">
        <v>285</v>
      </c>
      <c r="G1739" s="496" t="s">
        <v>458</v>
      </c>
      <c r="H1739" s="497" t="s">
        <v>356</v>
      </c>
      <c r="I1739" s="498" t="s">
        <v>356</v>
      </c>
      <c r="J1739" s="495" t="s">
        <v>295</v>
      </c>
      <c r="K1739" s="499"/>
      <c r="L1739" s="497" t="s">
        <v>358</v>
      </c>
      <c r="M1739" s="497" t="s">
        <v>364</v>
      </c>
      <c r="N1739" s="497" t="s">
        <v>358</v>
      </c>
      <c r="O1739" s="497" t="s">
        <v>366</v>
      </c>
      <c r="P1739" s="497" t="s">
        <v>286</v>
      </c>
      <c r="Q1739" s="128"/>
    </row>
    <row r="1740" spans="1:17" ht="13.5" thickBot="1">
      <c r="C1740" s="500" t="s">
        <v>177</v>
      </c>
      <c r="D1740" s="501" t="s">
        <v>178</v>
      </c>
      <c r="E1740" s="500" t="s">
        <v>37</v>
      </c>
      <c r="F1740" s="501" t="s">
        <v>178</v>
      </c>
      <c r="G1740" s="501" t="s">
        <v>178</v>
      </c>
      <c r="H1740" s="502" t="s">
        <v>298</v>
      </c>
      <c r="I1740" s="503" t="s">
        <v>300</v>
      </c>
      <c r="J1740" s="500" t="s">
        <v>389</v>
      </c>
      <c r="K1740" s="504"/>
      <c r="L1740" s="502" t="s">
        <v>287</v>
      </c>
      <c r="M1740" s="502" t="s">
        <v>287</v>
      </c>
      <c r="N1740" s="502" t="s">
        <v>467</v>
      </c>
      <c r="O1740" s="502" t="s">
        <v>467</v>
      </c>
      <c r="P1740" s="502" t="s">
        <v>467</v>
      </c>
      <c r="Q1740" s="135"/>
    </row>
    <row r="1741" spans="1:17">
      <c r="C1741" s="505">
        <f>IF(D1735= "","-",D1735)</f>
        <v>2018</v>
      </c>
      <c r="D1741" s="469">
        <f>+D1734</f>
        <v>598618.88</v>
      </c>
      <c r="E1741" s="506">
        <f>+J1738/12*(12-D1736)</f>
        <v>7126.4152380952382</v>
      </c>
      <c r="F1741" s="548">
        <f t="shared" ref="F1741:F1800" si="160">+D1741-E1741</f>
        <v>591492.46476190479</v>
      </c>
      <c r="G1741" s="469">
        <f t="shared" ref="G1741:G1800" si="161">+(D1741+F1741)/2</f>
        <v>595055.6723809524</v>
      </c>
      <c r="H1741" s="507">
        <f>+J1736*G1741+E1741</f>
        <v>96364.69316993565</v>
      </c>
      <c r="I1741" s="508">
        <f>+J1737*G1741+E1741</f>
        <v>96364.69316993565</v>
      </c>
      <c r="J1741" s="509">
        <f t="shared" ref="J1741:J1800" si="162">+I1741-H1741</f>
        <v>0</v>
      </c>
      <c r="K1741" s="509"/>
      <c r="L1741" s="513">
        <v>8836</v>
      </c>
      <c r="M1741" s="549">
        <f t="shared" ref="M1741:M1800" si="163">IF(L1741&lt;&gt;0,+H1741-L1741,0)</f>
        <v>87528.69316993565</v>
      </c>
      <c r="N1741" s="513">
        <v>8836</v>
      </c>
      <c r="O1741" s="549">
        <f t="shared" ref="O1741:O1800" si="164">IF(N1741&lt;&gt;0,+I1741-N1741,0)</f>
        <v>87528.69316993565</v>
      </c>
      <c r="P1741" s="549">
        <f t="shared" ref="P1741:P1800" si="165">+O1741-M1741</f>
        <v>0</v>
      </c>
      <c r="Q1741" s="471"/>
    </row>
    <row r="1742" spans="1:17">
      <c r="C1742" s="505">
        <f>IF(D1735="","-",+C1741+1)</f>
        <v>2019</v>
      </c>
      <c r="D1742" s="469">
        <f t="shared" ref="D1742:D1800" si="166">F1741</f>
        <v>591492.46476190479</v>
      </c>
      <c r="E1742" s="511">
        <f>IF(D1742&gt;$J$1738,$J$1738,D1742)</f>
        <v>14252.830476190476</v>
      </c>
      <c r="F1742" s="511">
        <f t="shared" si="160"/>
        <v>577239.63428571436</v>
      </c>
      <c r="G1742" s="469">
        <f t="shared" si="161"/>
        <v>584366.04952380958</v>
      </c>
      <c r="H1742" s="506">
        <f>+J1736*G1742+E1742</f>
        <v>101888.02557093196</v>
      </c>
      <c r="I1742" s="512">
        <f>+J1737*G1742+E1742</f>
        <v>101888.02557093196</v>
      </c>
      <c r="J1742" s="509">
        <f t="shared" si="162"/>
        <v>0</v>
      </c>
      <c r="K1742" s="509"/>
      <c r="L1742" s="513">
        <v>2185</v>
      </c>
      <c r="M1742" s="509">
        <f t="shared" si="163"/>
        <v>99703.025570931961</v>
      </c>
      <c r="N1742" s="513">
        <v>2185</v>
      </c>
      <c r="O1742" s="509">
        <f t="shared" si="164"/>
        <v>99703.025570931961</v>
      </c>
      <c r="P1742" s="509">
        <f t="shared" si="165"/>
        <v>0</v>
      </c>
      <c r="Q1742" s="471"/>
    </row>
    <row r="1743" spans="1:17">
      <c r="C1743" s="505">
        <f>IF(D1735="","-",+C1742+1)</f>
        <v>2020</v>
      </c>
      <c r="D1743" s="469">
        <f t="shared" si="166"/>
        <v>577239.63428571436</v>
      </c>
      <c r="E1743" s="511">
        <f t="shared" ref="E1743:E1800" si="167">IF(D1743&gt;$J$1738,$J$1738,D1743)</f>
        <v>14252.830476190476</v>
      </c>
      <c r="F1743" s="511">
        <f t="shared" si="160"/>
        <v>562986.80380952393</v>
      </c>
      <c r="G1743" s="469">
        <f t="shared" si="161"/>
        <v>570113.21904761915</v>
      </c>
      <c r="H1743" s="506">
        <f>+J1736*G1743+E1743</f>
        <v>99750.581788133393</v>
      </c>
      <c r="I1743" s="512">
        <f>+J1737*G1743+E1743</f>
        <v>99750.581788133393</v>
      </c>
      <c r="J1743" s="509">
        <f t="shared" si="162"/>
        <v>0</v>
      </c>
      <c r="K1743" s="509"/>
      <c r="L1743" s="513">
        <v>97920.125744351099</v>
      </c>
      <c r="M1743" s="509">
        <f t="shared" si="163"/>
        <v>1830.4560437822947</v>
      </c>
      <c r="N1743" s="513">
        <v>97920.125744351099</v>
      </c>
      <c r="O1743" s="509">
        <f t="shared" si="164"/>
        <v>1830.4560437822947</v>
      </c>
      <c r="P1743" s="509">
        <f t="shared" si="165"/>
        <v>0</v>
      </c>
      <c r="Q1743" s="471"/>
    </row>
    <row r="1744" spans="1:17">
      <c r="C1744" s="505">
        <f>IF(D1735="","-",+C1743+1)</f>
        <v>2021</v>
      </c>
      <c r="D1744" s="941">
        <f t="shared" si="166"/>
        <v>562986.80380952393</v>
      </c>
      <c r="E1744" s="511">
        <f t="shared" si="167"/>
        <v>14252.830476190476</v>
      </c>
      <c r="F1744" s="511">
        <f t="shared" si="160"/>
        <v>548733.9733333335</v>
      </c>
      <c r="G1744" s="469">
        <f t="shared" si="161"/>
        <v>555860.38857142872</v>
      </c>
      <c r="H1744" s="506">
        <f>+J1736*G1744+E1744</f>
        <v>97613.138005334826</v>
      </c>
      <c r="I1744" s="512">
        <f>+J1737*G1744+E1744</f>
        <v>97613.138005334826</v>
      </c>
      <c r="J1744" s="509">
        <f t="shared" si="162"/>
        <v>0</v>
      </c>
      <c r="K1744" s="509"/>
      <c r="L1744" s="513">
        <v>93566.319298246177</v>
      </c>
      <c r="M1744" s="509">
        <f t="shared" si="163"/>
        <v>4046.8187070886488</v>
      </c>
      <c r="N1744" s="513">
        <v>93566.319298246177</v>
      </c>
      <c r="O1744" s="509">
        <f t="shared" si="164"/>
        <v>4046.8187070886488</v>
      </c>
      <c r="P1744" s="509">
        <f t="shared" si="165"/>
        <v>0</v>
      </c>
      <c r="Q1744" s="471"/>
    </row>
    <row r="1745" spans="3:17">
      <c r="C1745" s="505">
        <f>IF(D1735="","-",+C1744+1)</f>
        <v>2022</v>
      </c>
      <c r="D1745" s="941">
        <f t="shared" si="166"/>
        <v>548733.9733333335</v>
      </c>
      <c r="E1745" s="511">
        <f t="shared" si="167"/>
        <v>14252.830476190476</v>
      </c>
      <c r="F1745" s="511">
        <f t="shared" si="160"/>
        <v>534481.14285714307</v>
      </c>
      <c r="G1745" s="469">
        <f t="shared" si="161"/>
        <v>541607.55809523829</v>
      </c>
      <c r="H1745" s="506">
        <f>+J1736*G1745+E1745</f>
        <v>95475.694222536258</v>
      </c>
      <c r="I1745" s="512">
        <f>+J1737*G1745+E1745</f>
        <v>95475.694222536258</v>
      </c>
      <c r="J1745" s="509">
        <f t="shared" si="162"/>
        <v>0</v>
      </c>
      <c r="K1745" s="509"/>
      <c r="L1745" s="513">
        <v>92001.833761765331</v>
      </c>
      <c r="M1745" s="509">
        <f t="shared" si="163"/>
        <v>3473.8604607709276</v>
      </c>
      <c r="N1745" s="513">
        <v>92001.833761765331</v>
      </c>
      <c r="O1745" s="509">
        <f t="shared" si="164"/>
        <v>3473.8604607709276</v>
      </c>
      <c r="P1745" s="509">
        <f t="shared" si="165"/>
        <v>0</v>
      </c>
      <c r="Q1745" s="471"/>
    </row>
    <row r="1746" spans="3:17">
      <c r="C1746" s="505">
        <f>IF(D1735="","-",+C1745+1)</f>
        <v>2023</v>
      </c>
      <c r="D1746" s="941">
        <f t="shared" si="166"/>
        <v>534481.14285714307</v>
      </c>
      <c r="E1746" s="511">
        <f t="shared" si="167"/>
        <v>14252.830476190476</v>
      </c>
      <c r="F1746" s="511">
        <f t="shared" si="160"/>
        <v>520228.31238095259</v>
      </c>
      <c r="G1746" s="469">
        <f t="shared" si="161"/>
        <v>527354.72761904786</v>
      </c>
      <c r="H1746" s="506">
        <f>+J1736*G1746+E1746</f>
        <v>93338.250439737691</v>
      </c>
      <c r="I1746" s="512">
        <f>+J1737*G1746+E1746</f>
        <v>93338.250439737691</v>
      </c>
      <c r="J1746" s="509">
        <f t="shared" si="162"/>
        <v>0</v>
      </c>
      <c r="K1746" s="509"/>
      <c r="L1746" s="513">
        <v>93626.993680176936</v>
      </c>
      <c r="M1746" s="509">
        <f t="shared" si="163"/>
        <v>-288.74324043924571</v>
      </c>
      <c r="N1746" s="513">
        <v>93626.993680176936</v>
      </c>
      <c r="O1746" s="509">
        <f t="shared" si="164"/>
        <v>-288.74324043924571</v>
      </c>
      <c r="P1746" s="509">
        <f t="shared" si="165"/>
        <v>0</v>
      </c>
      <c r="Q1746" s="471"/>
    </row>
    <row r="1747" spans="3:17">
      <c r="C1747" s="505">
        <f>IF(D1735="","-",+C1746+1)</f>
        <v>2024</v>
      </c>
      <c r="D1747" s="941">
        <f t="shared" si="166"/>
        <v>520228.31238095259</v>
      </c>
      <c r="E1747" s="511">
        <f t="shared" si="167"/>
        <v>14252.830476190476</v>
      </c>
      <c r="F1747" s="511">
        <f t="shared" si="160"/>
        <v>505975.4819047621</v>
      </c>
      <c r="G1747" s="469">
        <f t="shared" si="161"/>
        <v>513101.89714285731</v>
      </c>
      <c r="H1747" s="506">
        <f>+J1736*G1747+E1747</f>
        <v>91200.806656939109</v>
      </c>
      <c r="I1747" s="512">
        <f>+J1737*G1747+E1747</f>
        <v>91200.806656939109</v>
      </c>
      <c r="J1747" s="509">
        <f t="shared" si="162"/>
        <v>0</v>
      </c>
      <c r="K1747" s="509"/>
      <c r="L1747" s="513">
        <v>91091.150907228715</v>
      </c>
      <c r="M1747" s="509">
        <f t="shared" si="163"/>
        <v>109.65574971039314</v>
      </c>
      <c r="N1747" s="513">
        <v>91091.150907228715</v>
      </c>
      <c r="O1747" s="509">
        <f t="shared" si="164"/>
        <v>109.65574971039314</v>
      </c>
      <c r="P1747" s="509">
        <f t="shared" si="165"/>
        <v>0</v>
      </c>
      <c r="Q1747" s="471"/>
    </row>
    <row r="1748" spans="3:17">
      <c r="C1748" s="505">
        <f>IF(D1735="","-",+C1747+1)</f>
        <v>2025</v>
      </c>
      <c r="D1748" s="469">
        <f t="shared" si="166"/>
        <v>505975.4819047621</v>
      </c>
      <c r="E1748" s="511">
        <f t="shared" si="167"/>
        <v>14252.830476190476</v>
      </c>
      <c r="F1748" s="511">
        <f t="shared" si="160"/>
        <v>491722.65142857161</v>
      </c>
      <c r="G1748" s="469">
        <f t="shared" si="161"/>
        <v>498849.06666666688</v>
      </c>
      <c r="H1748" s="506">
        <f>+J1736*G1748+E1748</f>
        <v>89063.362874140541</v>
      </c>
      <c r="I1748" s="512">
        <f>+J1737*G1748+E1748</f>
        <v>89063.362874140541</v>
      </c>
      <c r="J1748" s="509">
        <f t="shared" si="162"/>
        <v>0</v>
      </c>
      <c r="K1748" s="509"/>
      <c r="L1748" s="513">
        <v>86447.917351567987</v>
      </c>
      <c r="M1748" s="509">
        <f t="shared" si="163"/>
        <v>2615.4455225725542</v>
      </c>
      <c r="N1748" s="513">
        <v>86447.917351567987</v>
      </c>
      <c r="O1748" s="509">
        <f t="shared" si="164"/>
        <v>2615.4455225725542</v>
      </c>
      <c r="P1748" s="509">
        <f t="shared" si="165"/>
        <v>0</v>
      </c>
      <c r="Q1748" s="471"/>
    </row>
    <row r="1749" spans="3:17">
      <c r="C1749" s="505">
        <f>IF(D1735="","-",+C1748+1)</f>
        <v>2026</v>
      </c>
      <c r="D1749" s="469">
        <f t="shared" si="166"/>
        <v>491722.65142857161</v>
      </c>
      <c r="E1749" s="511">
        <f t="shared" si="167"/>
        <v>14252.830476190476</v>
      </c>
      <c r="F1749" s="511">
        <f t="shared" si="160"/>
        <v>477469.82095238112</v>
      </c>
      <c r="G1749" s="469">
        <f t="shared" si="161"/>
        <v>484596.23619047634</v>
      </c>
      <c r="H1749" s="506">
        <f>+J1736*G1749+E1749</f>
        <v>86925.919091341959</v>
      </c>
      <c r="I1749" s="512">
        <f>+J1737*G1749+E1749</f>
        <v>86925.919091341959</v>
      </c>
      <c r="J1749" s="509">
        <f t="shared" si="162"/>
        <v>0</v>
      </c>
      <c r="K1749" s="509"/>
      <c r="L1749" s="513">
        <v>0</v>
      </c>
      <c r="M1749" s="509">
        <f t="shared" si="163"/>
        <v>0</v>
      </c>
      <c r="N1749" s="513">
        <v>0</v>
      </c>
      <c r="O1749" s="509">
        <f t="shared" si="164"/>
        <v>0</v>
      </c>
      <c r="P1749" s="509">
        <f t="shared" si="165"/>
        <v>0</v>
      </c>
      <c r="Q1749" s="471"/>
    </row>
    <row r="1750" spans="3:17">
      <c r="C1750" s="963">
        <f>IF(D1735="","-",+C1749+1)</f>
        <v>2027</v>
      </c>
      <c r="D1750" s="469">
        <f t="shared" si="166"/>
        <v>477469.82095238112</v>
      </c>
      <c r="E1750" s="511">
        <f t="shared" si="167"/>
        <v>14252.830476190476</v>
      </c>
      <c r="F1750" s="511">
        <f t="shared" si="160"/>
        <v>463216.99047619064</v>
      </c>
      <c r="G1750" s="469">
        <f t="shared" si="161"/>
        <v>470343.40571428591</v>
      </c>
      <c r="H1750" s="506">
        <f>+J1736*G1750+E1750</f>
        <v>84788.475308543406</v>
      </c>
      <c r="I1750" s="512">
        <f>+J1737*G1750+E1750</f>
        <v>84788.475308543406</v>
      </c>
      <c r="J1750" s="509">
        <f t="shared" si="162"/>
        <v>0</v>
      </c>
      <c r="K1750" s="509"/>
      <c r="L1750" s="513">
        <v>0</v>
      </c>
      <c r="M1750" s="509">
        <f t="shared" si="163"/>
        <v>0</v>
      </c>
      <c r="N1750" s="513">
        <v>0</v>
      </c>
      <c r="O1750" s="509">
        <f t="shared" si="164"/>
        <v>0</v>
      </c>
      <c r="P1750" s="509">
        <f t="shared" si="165"/>
        <v>0</v>
      </c>
      <c r="Q1750" s="471"/>
    </row>
    <row r="1751" spans="3:17">
      <c r="C1751" s="505">
        <f>IF(D1735="","-",+C1750+1)</f>
        <v>2028</v>
      </c>
      <c r="D1751" s="469">
        <f t="shared" si="166"/>
        <v>463216.99047619064</v>
      </c>
      <c r="E1751" s="511">
        <f t="shared" si="167"/>
        <v>14252.830476190476</v>
      </c>
      <c r="F1751" s="511">
        <f t="shared" si="160"/>
        <v>448964.16000000015</v>
      </c>
      <c r="G1751" s="469">
        <f t="shared" si="161"/>
        <v>456090.57523809536</v>
      </c>
      <c r="H1751" s="506">
        <f>+J1736*G1751+E1751</f>
        <v>82651.031525744809</v>
      </c>
      <c r="I1751" s="512">
        <f>+J1737*G1751+E1751</f>
        <v>82651.031525744809</v>
      </c>
      <c r="J1751" s="509">
        <f t="shared" si="162"/>
        <v>0</v>
      </c>
      <c r="K1751" s="509"/>
      <c r="L1751" s="513"/>
      <c r="M1751" s="509">
        <f t="shared" si="163"/>
        <v>0</v>
      </c>
      <c r="N1751" s="513"/>
      <c r="O1751" s="509">
        <f t="shared" si="164"/>
        <v>0</v>
      </c>
      <c r="P1751" s="509">
        <f t="shared" si="165"/>
        <v>0</v>
      </c>
      <c r="Q1751" s="471"/>
    </row>
    <row r="1752" spans="3:17">
      <c r="C1752" s="505">
        <f>IF(D1735="","-",+C1751+1)</f>
        <v>2029</v>
      </c>
      <c r="D1752" s="469">
        <f t="shared" si="166"/>
        <v>448964.16000000015</v>
      </c>
      <c r="E1752" s="511">
        <f t="shared" si="167"/>
        <v>14252.830476190476</v>
      </c>
      <c r="F1752" s="511">
        <f t="shared" si="160"/>
        <v>434711.32952380966</v>
      </c>
      <c r="G1752" s="469">
        <f t="shared" si="161"/>
        <v>441837.74476190493</v>
      </c>
      <c r="H1752" s="506">
        <f>+J1736*G1752+E1752</f>
        <v>80513.587742946256</v>
      </c>
      <c r="I1752" s="512">
        <f>+J1737*G1752+E1752</f>
        <v>80513.587742946256</v>
      </c>
      <c r="J1752" s="509">
        <f t="shared" si="162"/>
        <v>0</v>
      </c>
      <c r="K1752" s="509"/>
      <c r="L1752" s="513"/>
      <c r="M1752" s="509">
        <f t="shared" si="163"/>
        <v>0</v>
      </c>
      <c r="N1752" s="513"/>
      <c r="O1752" s="509">
        <f t="shared" si="164"/>
        <v>0</v>
      </c>
      <c r="P1752" s="509">
        <f t="shared" si="165"/>
        <v>0</v>
      </c>
      <c r="Q1752" s="471"/>
    </row>
    <row r="1753" spans="3:17">
      <c r="C1753" s="505">
        <f>IF(D1735="","-",+C1752+1)</f>
        <v>2030</v>
      </c>
      <c r="D1753" s="469">
        <f t="shared" si="166"/>
        <v>434711.32952380966</v>
      </c>
      <c r="E1753" s="511">
        <f t="shared" si="167"/>
        <v>14252.830476190476</v>
      </c>
      <c r="F1753" s="511">
        <f t="shared" si="160"/>
        <v>420458.49904761917</v>
      </c>
      <c r="G1753" s="469">
        <f t="shared" si="161"/>
        <v>427584.91428571439</v>
      </c>
      <c r="H1753" s="506">
        <f>+J1736*G1753+E1753</f>
        <v>78376.143960147674</v>
      </c>
      <c r="I1753" s="512">
        <f>+J1737*G1753+E1753</f>
        <v>78376.143960147674</v>
      </c>
      <c r="J1753" s="509">
        <f t="shared" si="162"/>
        <v>0</v>
      </c>
      <c r="K1753" s="509"/>
      <c r="L1753" s="513"/>
      <c r="M1753" s="509">
        <f t="shared" si="163"/>
        <v>0</v>
      </c>
      <c r="N1753" s="513"/>
      <c r="O1753" s="509">
        <f t="shared" si="164"/>
        <v>0</v>
      </c>
      <c r="P1753" s="509">
        <f t="shared" si="165"/>
        <v>0</v>
      </c>
      <c r="Q1753" s="471"/>
    </row>
    <row r="1754" spans="3:17">
      <c r="C1754" s="505">
        <f>IF(D1735="","-",+C1753+1)</f>
        <v>2031</v>
      </c>
      <c r="D1754" s="469">
        <f t="shared" si="166"/>
        <v>420458.49904761917</v>
      </c>
      <c r="E1754" s="511">
        <f t="shared" si="167"/>
        <v>14252.830476190476</v>
      </c>
      <c r="F1754" s="511">
        <f t="shared" si="160"/>
        <v>406205.66857142869</v>
      </c>
      <c r="G1754" s="469">
        <f t="shared" si="161"/>
        <v>413332.08380952396</v>
      </c>
      <c r="H1754" s="506">
        <f>+J1736*G1754+E1754</f>
        <v>76238.700177349107</v>
      </c>
      <c r="I1754" s="512">
        <f>+J1737*G1754+E1754</f>
        <v>76238.700177349107</v>
      </c>
      <c r="J1754" s="509">
        <f t="shared" si="162"/>
        <v>0</v>
      </c>
      <c r="K1754" s="509"/>
      <c r="L1754" s="513"/>
      <c r="M1754" s="509">
        <f t="shared" si="163"/>
        <v>0</v>
      </c>
      <c r="N1754" s="513"/>
      <c r="O1754" s="509">
        <f t="shared" si="164"/>
        <v>0</v>
      </c>
      <c r="P1754" s="509">
        <f t="shared" si="165"/>
        <v>0</v>
      </c>
      <c r="Q1754" s="471"/>
    </row>
    <row r="1755" spans="3:17">
      <c r="C1755" s="505">
        <f>IF(D1735="","-",+C1754+1)</f>
        <v>2032</v>
      </c>
      <c r="D1755" s="469">
        <f t="shared" si="166"/>
        <v>406205.66857142869</v>
      </c>
      <c r="E1755" s="511">
        <f t="shared" si="167"/>
        <v>14252.830476190476</v>
      </c>
      <c r="F1755" s="511">
        <f t="shared" si="160"/>
        <v>391952.8380952382</v>
      </c>
      <c r="G1755" s="469">
        <f t="shared" si="161"/>
        <v>399079.25333333341</v>
      </c>
      <c r="H1755" s="506">
        <f>+J1736*G1755+E1755</f>
        <v>74101.256394550524</v>
      </c>
      <c r="I1755" s="512">
        <f>+J1737*G1755+E1755</f>
        <v>74101.256394550524</v>
      </c>
      <c r="J1755" s="509">
        <f t="shared" si="162"/>
        <v>0</v>
      </c>
      <c r="K1755" s="509"/>
      <c r="L1755" s="513"/>
      <c r="M1755" s="509">
        <f t="shared" si="163"/>
        <v>0</v>
      </c>
      <c r="N1755" s="513"/>
      <c r="O1755" s="509">
        <f t="shared" si="164"/>
        <v>0</v>
      </c>
      <c r="P1755" s="509">
        <f t="shared" si="165"/>
        <v>0</v>
      </c>
      <c r="Q1755" s="471"/>
    </row>
    <row r="1756" spans="3:17">
      <c r="C1756" s="505">
        <f>IF(D1735="","-",+C1755+1)</f>
        <v>2033</v>
      </c>
      <c r="D1756" s="469">
        <f t="shared" si="166"/>
        <v>391952.8380952382</v>
      </c>
      <c r="E1756" s="511">
        <f t="shared" si="167"/>
        <v>14252.830476190476</v>
      </c>
      <c r="F1756" s="511">
        <f t="shared" si="160"/>
        <v>377700.00761904771</v>
      </c>
      <c r="G1756" s="469">
        <f t="shared" si="161"/>
        <v>384826.42285714298</v>
      </c>
      <c r="H1756" s="506">
        <f>+J1736*G1756+E1756</f>
        <v>71963.812611751957</v>
      </c>
      <c r="I1756" s="512">
        <f>+J1737*G1756+E1756</f>
        <v>71963.812611751957</v>
      </c>
      <c r="J1756" s="509">
        <f t="shared" si="162"/>
        <v>0</v>
      </c>
      <c r="K1756" s="509"/>
      <c r="L1756" s="513"/>
      <c r="M1756" s="509">
        <f t="shared" si="163"/>
        <v>0</v>
      </c>
      <c r="N1756" s="513"/>
      <c r="O1756" s="509">
        <f t="shared" si="164"/>
        <v>0</v>
      </c>
      <c r="P1756" s="509">
        <f t="shared" si="165"/>
        <v>0</v>
      </c>
      <c r="Q1756" s="471"/>
    </row>
    <row r="1757" spans="3:17">
      <c r="C1757" s="505">
        <f>IF(D1735="","-",+C1756+1)</f>
        <v>2034</v>
      </c>
      <c r="D1757" s="469">
        <f t="shared" si="166"/>
        <v>377700.00761904771</v>
      </c>
      <c r="E1757" s="511">
        <f t="shared" si="167"/>
        <v>14252.830476190476</v>
      </c>
      <c r="F1757" s="511">
        <f t="shared" si="160"/>
        <v>363447.17714285722</v>
      </c>
      <c r="G1757" s="469">
        <f t="shared" si="161"/>
        <v>370573.59238095244</v>
      </c>
      <c r="H1757" s="506">
        <f>+J1736*G1757+E1757</f>
        <v>69826.368828953375</v>
      </c>
      <c r="I1757" s="512">
        <f>+J1737*G1757+E1757</f>
        <v>69826.368828953375</v>
      </c>
      <c r="J1757" s="509">
        <f t="shared" si="162"/>
        <v>0</v>
      </c>
      <c r="K1757" s="509"/>
      <c r="L1757" s="513"/>
      <c r="M1757" s="509">
        <f t="shared" si="163"/>
        <v>0</v>
      </c>
      <c r="N1757" s="513"/>
      <c r="O1757" s="509">
        <f t="shared" si="164"/>
        <v>0</v>
      </c>
      <c r="P1757" s="509">
        <f t="shared" si="165"/>
        <v>0</v>
      </c>
      <c r="Q1757" s="471"/>
    </row>
    <row r="1758" spans="3:17">
      <c r="C1758" s="505">
        <f>IF(D1735="","-",+C1757+1)</f>
        <v>2035</v>
      </c>
      <c r="D1758" s="469">
        <f t="shared" si="166"/>
        <v>363447.17714285722</v>
      </c>
      <c r="E1758" s="511">
        <f t="shared" si="167"/>
        <v>14252.830476190476</v>
      </c>
      <c r="F1758" s="511">
        <f t="shared" si="160"/>
        <v>349194.34666666674</v>
      </c>
      <c r="G1758" s="469">
        <f t="shared" si="161"/>
        <v>356320.76190476201</v>
      </c>
      <c r="H1758" s="506">
        <f>+J1736*G1758+E1758</f>
        <v>67688.925046154807</v>
      </c>
      <c r="I1758" s="512">
        <f>+J1737*G1758+E1758</f>
        <v>67688.925046154807</v>
      </c>
      <c r="J1758" s="509">
        <f t="shared" si="162"/>
        <v>0</v>
      </c>
      <c r="K1758" s="509"/>
      <c r="L1758" s="513"/>
      <c r="M1758" s="509">
        <f t="shared" si="163"/>
        <v>0</v>
      </c>
      <c r="N1758" s="513"/>
      <c r="O1758" s="509">
        <f t="shared" si="164"/>
        <v>0</v>
      </c>
      <c r="P1758" s="509">
        <f t="shared" si="165"/>
        <v>0</v>
      </c>
      <c r="Q1758" s="471"/>
    </row>
    <row r="1759" spans="3:17">
      <c r="C1759" s="505">
        <f>IF(D1735="","-",+C1758+1)</f>
        <v>2036</v>
      </c>
      <c r="D1759" s="469">
        <f t="shared" si="166"/>
        <v>349194.34666666674</v>
      </c>
      <c r="E1759" s="511">
        <f t="shared" si="167"/>
        <v>14252.830476190476</v>
      </c>
      <c r="F1759" s="511">
        <f t="shared" si="160"/>
        <v>334941.51619047625</v>
      </c>
      <c r="G1759" s="469">
        <f t="shared" si="161"/>
        <v>342067.93142857146</v>
      </c>
      <c r="H1759" s="506">
        <f>+J1736*G1759+E1759</f>
        <v>65551.481263356225</v>
      </c>
      <c r="I1759" s="512">
        <f>+J1737*G1759+E1759</f>
        <v>65551.481263356225</v>
      </c>
      <c r="J1759" s="509">
        <f t="shared" si="162"/>
        <v>0</v>
      </c>
      <c r="K1759" s="509"/>
      <c r="L1759" s="513"/>
      <c r="M1759" s="509">
        <f t="shared" si="163"/>
        <v>0</v>
      </c>
      <c r="N1759" s="513"/>
      <c r="O1759" s="509">
        <f t="shared" si="164"/>
        <v>0</v>
      </c>
      <c r="P1759" s="509">
        <f t="shared" si="165"/>
        <v>0</v>
      </c>
      <c r="Q1759" s="471"/>
    </row>
    <row r="1760" spans="3:17">
      <c r="C1760" s="505">
        <f>IF(D1735="","-",+C1759+1)</f>
        <v>2037</v>
      </c>
      <c r="D1760" s="469">
        <f t="shared" si="166"/>
        <v>334941.51619047625</v>
      </c>
      <c r="E1760" s="511">
        <f t="shared" si="167"/>
        <v>14252.830476190476</v>
      </c>
      <c r="F1760" s="511">
        <f t="shared" si="160"/>
        <v>320688.68571428576</v>
      </c>
      <c r="G1760" s="469">
        <f t="shared" si="161"/>
        <v>327815.10095238104</v>
      </c>
      <c r="H1760" s="506">
        <f>+J1736*G1760+E1760</f>
        <v>63414.037480557658</v>
      </c>
      <c r="I1760" s="512">
        <f>+J1737*G1760+E1760</f>
        <v>63414.037480557658</v>
      </c>
      <c r="J1760" s="509">
        <f t="shared" si="162"/>
        <v>0</v>
      </c>
      <c r="K1760" s="509"/>
      <c r="L1760" s="513"/>
      <c r="M1760" s="509">
        <f t="shared" si="163"/>
        <v>0</v>
      </c>
      <c r="N1760" s="513"/>
      <c r="O1760" s="509">
        <f t="shared" si="164"/>
        <v>0</v>
      </c>
      <c r="P1760" s="509">
        <f t="shared" si="165"/>
        <v>0</v>
      </c>
      <c r="Q1760" s="471"/>
    </row>
    <row r="1761" spans="3:17">
      <c r="C1761" s="505">
        <f>IF(D1735="","-",+C1760+1)</f>
        <v>2038</v>
      </c>
      <c r="D1761" s="469">
        <f t="shared" si="166"/>
        <v>320688.68571428576</v>
      </c>
      <c r="E1761" s="511">
        <f t="shared" si="167"/>
        <v>14252.830476190476</v>
      </c>
      <c r="F1761" s="511">
        <f t="shared" si="160"/>
        <v>306435.85523809528</v>
      </c>
      <c r="G1761" s="469">
        <f t="shared" si="161"/>
        <v>313562.27047619049</v>
      </c>
      <c r="H1761" s="506">
        <f>+J1736*G1761+E1761</f>
        <v>61276.593697759075</v>
      </c>
      <c r="I1761" s="512">
        <f>+J1737*G1761+E1761</f>
        <v>61276.593697759075</v>
      </c>
      <c r="J1761" s="509">
        <f t="shared" si="162"/>
        <v>0</v>
      </c>
      <c r="K1761" s="509"/>
      <c r="L1761" s="513"/>
      <c r="M1761" s="509">
        <f t="shared" si="163"/>
        <v>0</v>
      </c>
      <c r="N1761" s="513"/>
      <c r="O1761" s="509">
        <f t="shared" si="164"/>
        <v>0</v>
      </c>
      <c r="P1761" s="509">
        <f t="shared" si="165"/>
        <v>0</v>
      </c>
      <c r="Q1761" s="471"/>
    </row>
    <row r="1762" spans="3:17">
      <c r="C1762" s="505">
        <f>IF(D1735="","-",+C1761+1)</f>
        <v>2039</v>
      </c>
      <c r="D1762" s="469">
        <f t="shared" si="166"/>
        <v>306435.85523809528</v>
      </c>
      <c r="E1762" s="511">
        <f t="shared" si="167"/>
        <v>14252.830476190476</v>
      </c>
      <c r="F1762" s="511">
        <f t="shared" si="160"/>
        <v>292183.02476190479</v>
      </c>
      <c r="G1762" s="469">
        <f t="shared" si="161"/>
        <v>299309.44000000006</v>
      </c>
      <c r="H1762" s="506">
        <f>+J1736*G1762+E1762</f>
        <v>59139.149914960508</v>
      </c>
      <c r="I1762" s="512">
        <f>+J1737*G1762+E1762</f>
        <v>59139.149914960508</v>
      </c>
      <c r="J1762" s="509">
        <f t="shared" si="162"/>
        <v>0</v>
      </c>
      <c r="K1762" s="509"/>
      <c r="L1762" s="513"/>
      <c r="M1762" s="509">
        <f t="shared" si="163"/>
        <v>0</v>
      </c>
      <c r="N1762" s="513"/>
      <c r="O1762" s="509">
        <f t="shared" si="164"/>
        <v>0</v>
      </c>
      <c r="P1762" s="509">
        <f t="shared" si="165"/>
        <v>0</v>
      </c>
      <c r="Q1762" s="471"/>
    </row>
    <row r="1763" spans="3:17">
      <c r="C1763" s="505">
        <f>IF(D1735="","-",+C1762+1)</f>
        <v>2040</v>
      </c>
      <c r="D1763" s="469">
        <f t="shared" si="166"/>
        <v>292183.02476190479</v>
      </c>
      <c r="E1763" s="511">
        <f t="shared" si="167"/>
        <v>14252.830476190476</v>
      </c>
      <c r="F1763" s="511">
        <f t="shared" si="160"/>
        <v>277930.1942857143</v>
      </c>
      <c r="G1763" s="469">
        <f t="shared" si="161"/>
        <v>285056.60952380951</v>
      </c>
      <c r="H1763" s="506">
        <f>+J1736*G1763+E1763</f>
        <v>57001.706132161926</v>
      </c>
      <c r="I1763" s="512">
        <f>+J1737*G1763+E1763</f>
        <v>57001.706132161926</v>
      </c>
      <c r="J1763" s="509">
        <f t="shared" si="162"/>
        <v>0</v>
      </c>
      <c r="K1763" s="509"/>
      <c r="L1763" s="513"/>
      <c r="M1763" s="509">
        <f t="shared" si="163"/>
        <v>0</v>
      </c>
      <c r="N1763" s="513"/>
      <c r="O1763" s="509">
        <f t="shared" si="164"/>
        <v>0</v>
      </c>
      <c r="P1763" s="509">
        <f t="shared" si="165"/>
        <v>0</v>
      </c>
      <c r="Q1763" s="471"/>
    </row>
    <row r="1764" spans="3:17">
      <c r="C1764" s="505">
        <f>IF(D1735="","-",+C1763+1)</f>
        <v>2041</v>
      </c>
      <c r="D1764" s="469">
        <f t="shared" si="166"/>
        <v>277930.1942857143</v>
      </c>
      <c r="E1764" s="511">
        <f t="shared" si="167"/>
        <v>14252.830476190476</v>
      </c>
      <c r="F1764" s="511">
        <f t="shared" si="160"/>
        <v>263677.36380952381</v>
      </c>
      <c r="G1764" s="469">
        <f t="shared" si="161"/>
        <v>270803.77904761909</v>
      </c>
      <c r="H1764" s="506">
        <f>+J1736*G1764+E1764</f>
        <v>54864.262349363358</v>
      </c>
      <c r="I1764" s="512">
        <f>+J1737*G1764+E1764</f>
        <v>54864.262349363358</v>
      </c>
      <c r="J1764" s="509">
        <f t="shared" si="162"/>
        <v>0</v>
      </c>
      <c r="K1764" s="509"/>
      <c r="L1764" s="513"/>
      <c r="M1764" s="509">
        <f t="shared" si="163"/>
        <v>0</v>
      </c>
      <c r="N1764" s="513"/>
      <c r="O1764" s="509">
        <f t="shared" si="164"/>
        <v>0</v>
      </c>
      <c r="P1764" s="509">
        <f t="shared" si="165"/>
        <v>0</v>
      </c>
      <c r="Q1764" s="471"/>
    </row>
    <row r="1765" spans="3:17">
      <c r="C1765" s="505">
        <f>IF(D1735="","-",+C1764+1)</f>
        <v>2042</v>
      </c>
      <c r="D1765" s="469">
        <f t="shared" si="166"/>
        <v>263677.36380952381</v>
      </c>
      <c r="E1765" s="511">
        <f t="shared" si="167"/>
        <v>14252.830476190476</v>
      </c>
      <c r="F1765" s="511">
        <f t="shared" si="160"/>
        <v>249424.53333333333</v>
      </c>
      <c r="G1765" s="469">
        <f t="shared" si="161"/>
        <v>256550.94857142857</v>
      </c>
      <c r="H1765" s="506">
        <f>+J1736*G1765+E1765</f>
        <v>52726.818566564791</v>
      </c>
      <c r="I1765" s="512">
        <f>+J1737*G1765+E1765</f>
        <v>52726.818566564791</v>
      </c>
      <c r="J1765" s="509">
        <f t="shared" si="162"/>
        <v>0</v>
      </c>
      <c r="K1765" s="509"/>
      <c r="L1765" s="513"/>
      <c r="M1765" s="509">
        <f t="shared" si="163"/>
        <v>0</v>
      </c>
      <c r="N1765" s="513"/>
      <c r="O1765" s="509">
        <f t="shared" si="164"/>
        <v>0</v>
      </c>
      <c r="P1765" s="509">
        <f t="shared" si="165"/>
        <v>0</v>
      </c>
      <c r="Q1765" s="471"/>
    </row>
    <row r="1766" spans="3:17">
      <c r="C1766" s="505">
        <f>IF(D1735="","-",+C1765+1)</f>
        <v>2043</v>
      </c>
      <c r="D1766" s="469">
        <f t="shared" si="166"/>
        <v>249424.53333333333</v>
      </c>
      <c r="E1766" s="511">
        <f t="shared" si="167"/>
        <v>14252.830476190476</v>
      </c>
      <c r="F1766" s="511">
        <f t="shared" si="160"/>
        <v>235171.70285714284</v>
      </c>
      <c r="G1766" s="469">
        <f t="shared" si="161"/>
        <v>242298.11809523808</v>
      </c>
      <c r="H1766" s="506">
        <f>+J1736*G1766+E1766</f>
        <v>50589.374783766209</v>
      </c>
      <c r="I1766" s="512">
        <f>+J1737*G1766+E1766</f>
        <v>50589.374783766209</v>
      </c>
      <c r="J1766" s="509">
        <f t="shared" si="162"/>
        <v>0</v>
      </c>
      <c r="K1766" s="509"/>
      <c r="L1766" s="513"/>
      <c r="M1766" s="509">
        <f t="shared" si="163"/>
        <v>0</v>
      </c>
      <c r="N1766" s="513"/>
      <c r="O1766" s="509">
        <f t="shared" si="164"/>
        <v>0</v>
      </c>
      <c r="P1766" s="509">
        <f t="shared" si="165"/>
        <v>0</v>
      </c>
      <c r="Q1766" s="471"/>
    </row>
    <row r="1767" spans="3:17">
      <c r="C1767" s="505">
        <f>IF(D1735="","-",+C1766+1)</f>
        <v>2044</v>
      </c>
      <c r="D1767" s="469">
        <f t="shared" si="166"/>
        <v>235171.70285714284</v>
      </c>
      <c r="E1767" s="511">
        <f t="shared" si="167"/>
        <v>14252.830476190476</v>
      </c>
      <c r="F1767" s="511">
        <f t="shared" si="160"/>
        <v>220918.87238095235</v>
      </c>
      <c r="G1767" s="469">
        <f t="shared" si="161"/>
        <v>228045.28761904759</v>
      </c>
      <c r="H1767" s="506">
        <f>+J1736*G1767+E1767</f>
        <v>48451.931000967641</v>
      </c>
      <c r="I1767" s="512">
        <f>+J1737*G1767+E1767</f>
        <v>48451.931000967641</v>
      </c>
      <c r="J1767" s="509">
        <f t="shared" si="162"/>
        <v>0</v>
      </c>
      <c r="K1767" s="509"/>
      <c r="L1767" s="513"/>
      <c r="M1767" s="509">
        <f t="shared" si="163"/>
        <v>0</v>
      </c>
      <c r="N1767" s="513"/>
      <c r="O1767" s="509">
        <f t="shared" si="164"/>
        <v>0</v>
      </c>
      <c r="P1767" s="509">
        <f t="shared" si="165"/>
        <v>0</v>
      </c>
      <c r="Q1767" s="471"/>
    </row>
    <row r="1768" spans="3:17">
      <c r="C1768" s="505">
        <f>IF(D1735="","-",+C1767+1)</f>
        <v>2045</v>
      </c>
      <c r="D1768" s="469">
        <f t="shared" si="166"/>
        <v>220918.87238095235</v>
      </c>
      <c r="E1768" s="511">
        <f t="shared" si="167"/>
        <v>14252.830476190476</v>
      </c>
      <c r="F1768" s="511">
        <f t="shared" si="160"/>
        <v>206666.04190476186</v>
      </c>
      <c r="G1768" s="469">
        <f t="shared" si="161"/>
        <v>213792.45714285711</v>
      </c>
      <c r="H1768" s="506">
        <f>+J1736*G1768+E1768</f>
        <v>46314.487218169059</v>
      </c>
      <c r="I1768" s="512">
        <f>+J1737*G1768+E1768</f>
        <v>46314.487218169059</v>
      </c>
      <c r="J1768" s="509">
        <f t="shared" si="162"/>
        <v>0</v>
      </c>
      <c r="K1768" s="509"/>
      <c r="L1768" s="513"/>
      <c r="M1768" s="509">
        <f t="shared" si="163"/>
        <v>0</v>
      </c>
      <c r="N1768" s="513"/>
      <c r="O1768" s="509">
        <f t="shared" si="164"/>
        <v>0</v>
      </c>
      <c r="P1768" s="509">
        <f t="shared" si="165"/>
        <v>0</v>
      </c>
      <c r="Q1768" s="471"/>
    </row>
    <row r="1769" spans="3:17">
      <c r="C1769" s="505">
        <f>IF(D1735="","-",+C1768+1)</f>
        <v>2046</v>
      </c>
      <c r="D1769" s="469">
        <f t="shared" si="166"/>
        <v>206666.04190476186</v>
      </c>
      <c r="E1769" s="511">
        <f t="shared" si="167"/>
        <v>14252.830476190476</v>
      </c>
      <c r="F1769" s="511">
        <f t="shared" si="160"/>
        <v>192413.21142857138</v>
      </c>
      <c r="G1769" s="469">
        <f t="shared" si="161"/>
        <v>199539.62666666662</v>
      </c>
      <c r="H1769" s="506">
        <f>+J1736*G1769+E1769</f>
        <v>44177.043435370491</v>
      </c>
      <c r="I1769" s="512">
        <f>+J1737*G1769+E1769</f>
        <v>44177.043435370491</v>
      </c>
      <c r="J1769" s="509">
        <f t="shared" si="162"/>
        <v>0</v>
      </c>
      <c r="K1769" s="509"/>
      <c r="L1769" s="513"/>
      <c r="M1769" s="509">
        <f t="shared" si="163"/>
        <v>0</v>
      </c>
      <c r="N1769" s="513"/>
      <c r="O1769" s="509">
        <f t="shared" si="164"/>
        <v>0</v>
      </c>
      <c r="P1769" s="509">
        <f t="shared" si="165"/>
        <v>0</v>
      </c>
      <c r="Q1769" s="471"/>
    </row>
    <row r="1770" spans="3:17">
      <c r="C1770" s="505">
        <f>IF(D1735="","-",+C1769+1)</f>
        <v>2047</v>
      </c>
      <c r="D1770" s="469">
        <f t="shared" si="166"/>
        <v>192413.21142857138</v>
      </c>
      <c r="E1770" s="511">
        <f t="shared" si="167"/>
        <v>14252.830476190476</v>
      </c>
      <c r="F1770" s="511">
        <f t="shared" si="160"/>
        <v>178160.38095238089</v>
      </c>
      <c r="G1770" s="469">
        <f t="shared" si="161"/>
        <v>185286.79619047613</v>
      </c>
      <c r="H1770" s="506">
        <f>+J1736*G1770+E1770</f>
        <v>42039.599652571909</v>
      </c>
      <c r="I1770" s="512">
        <f>+J1737*G1770+E1770</f>
        <v>42039.599652571909</v>
      </c>
      <c r="J1770" s="509">
        <f t="shared" si="162"/>
        <v>0</v>
      </c>
      <c r="K1770" s="509"/>
      <c r="L1770" s="513"/>
      <c r="M1770" s="509">
        <f t="shared" si="163"/>
        <v>0</v>
      </c>
      <c r="N1770" s="513"/>
      <c r="O1770" s="509">
        <f t="shared" si="164"/>
        <v>0</v>
      </c>
      <c r="P1770" s="509">
        <f t="shared" si="165"/>
        <v>0</v>
      </c>
      <c r="Q1770" s="471"/>
    </row>
    <row r="1771" spans="3:17">
      <c r="C1771" s="505">
        <f>IF(D1735="","-",+C1770+1)</f>
        <v>2048</v>
      </c>
      <c r="D1771" s="469">
        <f t="shared" si="166"/>
        <v>178160.38095238089</v>
      </c>
      <c r="E1771" s="511">
        <f t="shared" si="167"/>
        <v>14252.830476190476</v>
      </c>
      <c r="F1771" s="511">
        <f t="shared" si="160"/>
        <v>163907.5504761904</v>
      </c>
      <c r="G1771" s="469">
        <f t="shared" si="161"/>
        <v>171033.96571428564</v>
      </c>
      <c r="H1771" s="506">
        <f>+J1736*G1771+E1771</f>
        <v>39902.155869773342</v>
      </c>
      <c r="I1771" s="512">
        <f>+J1737*G1771+E1771</f>
        <v>39902.155869773342</v>
      </c>
      <c r="J1771" s="509">
        <f t="shared" si="162"/>
        <v>0</v>
      </c>
      <c r="K1771" s="509"/>
      <c r="L1771" s="513"/>
      <c r="M1771" s="509">
        <f t="shared" si="163"/>
        <v>0</v>
      </c>
      <c r="N1771" s="513"/>
      <c r="O1771" s="509">
        <f t="shared" si="164"/>
        <v>0</v>
      </c>
      <c r="P1771" s="509">
        <f t="shared" si="165"/>
        <v>0</v>
      </c>
      <c r="Q1771" s="471"/>
    </row>
    <row r="1772" spans="3:17">
      <c r="C1772" s="505">
        <f>IF(D1735="","-",+C1771+1)</f>
        <v>2049</v>
      </c>
      <c r="D1772" s="469">
        <f t="shared" si="166"/>
        <v>163907.5504761904</v>
      </c>
      <c r="E1772" s="511">
        <f t="shared" si="167"/>
        <v>14252.830476190476</v>
      </c>
      <c r="F1772" s="511">
        <f t="shared" si="160"/>
        <v>149654.71999999991</v>
      </c>
      <c r="G1772" s="469">
        <f t="shared" si="161"/>
        <v>156781.13523809516</v>
      </c>
      <c r="H1772" s="506">
        <f>+J1736*G1772+E1772</f>
        <v>37764.71208697476</v>
      </c>
      <c r="I1772" s="512">
        <f>+J1737*G1772+E1772</f>
        <v>37764.71208697476</v>
      </c>
      <c r="J1772" s="509">
        <f t="shared" si="162"/>
        <v>0</v>
      </c>
      <c r="K1772" s="509"/>
      <c r="L1772" s="513"/>
      <c r="M1772" s="509">
        <f t="shared" si="163"/>
        <v>0</v>
      </c>
      <c r="N1772" s="513"/>
      <c r="O1772" s="509">
        <f t="shared" si="164"/>
        <v>0</v>
      </c>
      <c r="P1772" s="509">
        <f t="shared" si="165"/>
        <v>0</v>
      </c>
      <c r="Q1772" s="471"/>
    </row>
    <row r="1773" spans="3:17">
      <c r="C1773" s="505">
        <f>IF(D1735="","-",+C1772+1)</f>
        <v>2050</v>
      </c>
      <c r="D1773" s="469">
        <f t="shared" si="166"/>
        <v>149654.71999999991</v>
      </c>
      <c r="E1773" s="511">
        <f t="shared" si="167"/>
        <v>14252.830476190476</v>
      </c>
      <c r="F1773" s="511">
        <f t="shared" si="160"/>
        <v>135401.88952380943</v>
      </c>
      <c r="G1773" s="469">
        <f t="shared" si="161"/>
        <v>142528.30476190467</v>
      </c>
      <c r="H1773" s="506">
        <f>+J1736*G1773+E1773</f>
        <v>35627.268304176192</v>
      </c>
      <c r="I1773" s="512">
        <f>+J1737*G1773+E1773</f>
        <v>35627.268304176192</v>
      </c>
      <c r="J1773" s="509">
        <f t="shared" si="162"/>
        <v>0</v>
      </c>
      <c r="K1773" s="509"/>
      <c r="L1773" s="513"/>
      <c r="M1773" s="509">
        <f t="shared" si="163"/>
        <v>0</v>
      </c>
      <c r="N1773" s="513"/>
      <c r="O1773" s="509">
        <f t="shared" si="164"/>
        <v>0</v>
      </c>
      <c r="P1773" s="509">
        <f t="shared" si="165"/>
        <v>0</v>
      </c>
      <c r="Q1773" s="471"/>
    </row>
    <row r="1774" spans="3:17">
      <c r="C1774" s="505">
        <f>IF(D1735="","-",+C1773+1)</f>
        <v>2051</v>
      </c>
      <c r="D1774" s="469">
        <f t="shared" si="166"/>
        <v>135401.88952380943</v>
      </c>
      <c r="E1774" s="511">
        <f t="shared" si="167"/>
        <v>14252.830476190476</v>
      </c>
      <c r="F1774" s="511">
        <f t="shared" si="160"/>
        <v>121149.05904761895</v>
      </c>
      <c r="G1774" s="469">
        <f t="shared" si="161"/>
        <v>128275.47428571418</v>
      </c>
      <c r="H1774" s="506">
        <f>+J1736*G1774+E1774</f>
        <v>33489.82452137761</v>
      </c>
      <c r="I1774" s="512">
        <f>+J1737*G1774+E1774</f>
        <v>33489.82452137761</v>
      </c>
      <c r="J1774" s="509">
        <f t="shared" si="162"/>
        <v>0</v>
      </c>
      <c r="K1774" s="509"/>
      <c r="L1774" s="513"/>
      <c r="M1774" s="509">
        <f t="shared" si="163"/>
        <v>0</v>
      </c>
      <c r="N1774" s="513"/>
      <c r="O1774" s="509">
        <f t="shared" si="164"/>
        <v>0</v>
      </c>
      <c r="P1774" s="509">
        <f t="shared" si="165"/>
        <v>0</v>
      </c>
      <c r="Q1774" s="471"/>
    </row>
    <row r="1775" spans="3:17">
      <c r="C1775" s="505">
        <f>IF(D1735="","-",+C1774+1)</f>
        <v>2052</v>
      </c>
      <c r="D1775" s="469">
        <f t="shared" si="166"/>
        <v>121149.05904761895</v>
      </c>
      <c r="E1775" s="511">
        <f t="shared" si="167"/>
        <v>14252.830476190476</v>
      </c>
      <c r="F1775" s="511">
        <f t="shared" si="160"/>
        <v>106896.22857142848</v>
      </c>
      <c r="G1775" s="469">
        <f t="shared" si="161"/>
        <v>114022.64380952372</v>
      </c>
      <c r="H1775" s="506">
        <f>+J1736*G1775+E1775</f>
        <v>31352.380738579046</v>
      </c>
      <c r="I1775" s="512">
        <f>+J1737*G1775+E1775</f>
        <v>31352.380738579046</v>
      </c>
      <c r="J1775" s="509">
        <f t="shared" si="162"/>
        <v>0</v>
      </c>
      <c r="K1775" s="509"/>
      <c r="L1775" s="513"/>
      <c r="M1775" s="509">
        <f t="shared" si="163"/>
        <v>0</v>
      </c>
      <c r="N1775" s="513"/>
      <c r="O1775" s="509">
        <f t="shared" si="164"/>
        <v>0</v>
      </c>
      <c r="P1775" s="509">
        <f t="shared" si="165"/>
        <v>0</v>
      </c>
      <c r="Q1775" s="471"/>
    </row>
    <row r="1776" spans="3:17">
      <c r="C1776" s="505">
        <f>IF(D1735="","-",+C1775+1)</f>
        <v>2053</v>
      </c>
      <c r="D1776" s="469">
        <f t="shared" si="166"/>
        <v>106896.22857142848</v>
      </c>
      <c r="E1776" s="511">
        <f t="shared" si="167"/>
        <v>14252.830476190476</v>
      </c>
      <c r="F1776" s="511">
        <f t="shared" si="160"/>
        <v>92643.398095238008</v>
      </c>
      <c r="G1776" s="469">
        <f t="shared" si="161"/>
        <v>99769.813333333237</v>
      </c>
      <c r="H1776" s="506">
        <f>+J1736*G1776+E1776</f>
        <v>29214.936955780471</v>
      </c>
      <c r="I1776" s="512">
        <f>+J1737*G1776+E1776</f>
        <v>29214.936955780471</v>
      </c>
      <c r="J1776" s="509">
        <f t="shared" si="162"/>
        <v>0</v>
      </c>
      <c r="K1776" s="509"/>
      <c r="L1776" s="513"/>
      <c r="M1776" s="509">
        <f t="shared" si="163"/>
        <v>0</v>
      </c>
      <c r="N1776" s="513"/>
      <c r="O1776" s="509">
        <f t="shared" si="164"/>
        <v>0</v>
      </c>
      <c r="P1776" s="509">
        <f t="shared" si="165"/>
        <v>0</v>
      </c>
      <c r="Q1776" s="471"/>
    </row>
    <row r="1777" spans="3:17">
      <c r="C1777" s="505">
        <f>IF(D1735="","-",+C1776+1)</f>
        <v>2054</v>
      </c>
      <c r="D1777" s="469">
        <f t="shared" si="166"/>
        <v>92643.398095238008</v>
      </c>
      <c r="E1777" s="511">
        <f t="shared" si="167"/>
        <v>14252.830476190476</v>
      </c>
      <c r="F1777" s="511">
        <f t="shared" si="160"/>
        <v>78390.567619047535</v>
      </c>
      <c r="G1777" s="469">
        <f t="shared" si="161"/>
        <v>85516.982857142779</v>
      </c>
      <c r="H1777" s="506">
        <f>+J1736*G1777+E1777</f>
        <v>27077.4931729819</v>
      </c>
      <c r="I1777" s="512">
        <f>+J1737*G1777+E1777</f>
        <v>27077.4931729819</v>
      </c>
      <c r="J1777" s="509">
        <f t="shared" si="162"/>
        <v>0</v>
      </c>
      <c r="K1777" s="509"/>
      <c r="L1777" s="513"/>
      <c r="M1777" s="509">
        <f t="shared" si="163"/>
        <v>0</v>
      </c>
      <c r="N1777" s="513"/>
      <c r="O1777" s="509">
        <f t="shared" si="164"/>
        <v>0</v>
      </c>
      <c r="P1777" s="509">
        <f t="shared" si="165"/>
        <v>0</v>
      </c>
      <c r="Q1777" s="471"/>
    </row>
    <row r="1778" spans="3:17">
      <c r="C1778" s="505">
        <f>IF(D1735="","-",+C1777+1)</f>
        <v>2055</v>
      </c>
      <c r="D1778" s="469">
        <f t="shared" si="166"/>
        <v>78390.567619047535</v>
      </c>
      <c r="E1778" s="511">
        <f t="shared" si="167"/>
        <v>14252.830476190476</v>
      </c>
      <c r="F1778" s="511">
        <f t="shared" si="160"/>
        <v>64137.737142857062</v>
      </c>
      <c r="G1778" s="469">
        <f t="shared" si="161"/>
        <v>71264.152380952291</v>
      </c>
      <c r="H1778" s="506">
        <f>+J1736*G1778+E1778</f>
        <v>24940.049390183325</v>
      </c>
      <c r="I1778" s="512">
        <f>+J1737*G1778+E1778</f>
        <v>24940.049390183325</v>
      </c>
      <c r="J1778" s="509">
        <f t="shared" si="162"/>
        <v>0</v>
      </c>
      <c r="K1778" s="509"/>
      <c r="L1778" s="513"/>
      <c r="M1778" s="509">
        <f t="shared" si="163"/>
        <v>0</v>
      </c>
      <c r="N1778" s="513"/>
      <c r="O1778" s="509">
        <f t="shared" si="164"/>
        <v>0</v>
      </c>
      <c r="P1778" s="509">
        <f t="shared" si="165"/>
        <v>0</v>
      </c>
      <c r="Q1778" s="471"/>
    </row>
    <row r="1779" spans="3:17">
      <c r="C1779" s="505">
        <f>IF(D1735="","-",+C1778+1)</f>
        <v>2056</v>
      </c>
      <c r="D1779" s="469">
        <f t="shared" si="166"/>
        <v>64137.737142857062</v>
      </c>
      <c r="E1779" s="511">
        <f t="shared" si="167"/>
        <v>14252.830476190476</v>
      </c>
      <c r="F1779" s="511">
        <f t="shared" si="160"/>
        <v>49884.906666666589</v>
      </c>
      <c r="G1779" s="469">
        <f t="shared" si="161"/>
        <v>57011.321904761826</v>
      </c>
      <c r="H1779" s="506">
        <f>+J1736*G1779+E1779</f>
        <v>22802.605607384758</v>
      </c>
      <c r="I1779" s="512">
        <f>+J1737*G1779+E1779</f>
        <v>22802.605607384758</v>
      </c>
      <c r="J1779" s="509">
        <f t="shared" si="162"/>
        <v>0</v>
      </c>
      <c r="K1779" s="509"/>
      <c r="L1779" s="513"/>
      <c r="M1779" s="509">
        <f t="shared" si="163"/>
        <v>0</v>
      </c>
      <c r="N1779" s="513"/>
      <c r="O1779" s="509">
        <f t="shared" si="164"/>
        <v>0</v>
      </c>
      <c r="P1779" s="509">
        <f t="shared" si="165"/>
        <v>0</v>
      </c>
      <c r="Q1779" s="471"/>
    </row>
    <row r="1780" spans="3:17">
      <c r="C1780" s="505">
        <f>IF(D1735="","-",+C1779+1)</f>
        <v>2057</v>
      </c>
      <c r="D1780" s="469">
        <f t="shared" si="166"/>
        <v>49884.906666666589</v>
      </c>
      <c r="E1780" s="511">
        <f t="shared" si="167"/>
        <v>14252.830476190476</v>
      </c>
      <c r="F1780" s="511">
        <f t="shared" si="160"/>
        <v>35632.076190476117</v>
      </c>
      <c r="G1780" s="469">
        <f t="shared" si="161"/>
        <v>42758.491428571353</v>
      </c>
      <c r="H1780" s="506">
        <f>+J1736*G1780+E1780</f>
        <v>20665.161824586183</v>
      </c>
      <c r="I1780" s="512">
        <f>+J1737*G1780+E1780</f>
        <v>20665.161824586183</v>
      </c>
      <c r="J1780" s="509">
        <f t="shared" si="162"/>
        <v>0</v>
      </c>
      <c r="K1780" s="509"/>
      <c r="L1780" s="513"/>
      <c r="M1780" s="509">
        <f t="shared" si="163"/>
        <v>0</v>
      </c>
      <c r="N1780" s="513"/>
      <c r="O1780" s="509">
        <f t="shared" si="164"/>
        <v>0</v>
      </c>
      <c r="P1780" s="509">
        <f t="shared" si="165"/>
        <v>0</v>
      </c>
      <c r="Q1780" s="471"/>
    </row>
    <row r="1781" spans="3:17">
      <c r="C1781" s="505">
        <f>IF(D1735="","-",+C1780+1)</f>
        <v>2058</v>
      </c>
      <c r="D1781" s="469">
        <f t="shared" si="166"/>
        <v>35632.076190476117</v>
      </c>
      <c r="E1781" s="511">
        <f t="shared" si="167"/>
        <v>14252.830476190476</v>
      </c>
      <c r="F1781" s="511">
        <f t="shared" si="160"/>
        <v>21379.24571428564</v>
      </c>
      <c r="G1781" s="469">
        <f t="shared" si="161"/>
        <v>28505.66095238088</v>
      </c>
      <c r="H1781" s="506">
        <f>+J1736*G1781+E1781</f>
        <v>18527.718041787612</v>
      </c>
      <c r="I1781" s="512">
        <f>+J1737*G1781+E1781</f>
        <v>18527.718041787612</v>
      </c>
      <c r="J1781" s="509">
        <f t="shared" si="162"/>
        <v>0</v>
      </c>
      <c r="K1781" s="509"/>
      <c r="L1781" s="513"/>
      <c r="M1781" s="509">
        <f t="shared" si="163"/>
        <v>0</v>
      </c>
      <c r="N1781" s="513"/>
      <c r="O1781" s="509">
        <f t="shared" si="164"/>
        <v>0</v>
      </c>
      <c r="P1781" s="509">
        <f t="shared" si="165"/>
        <v>0</v>
      </c>
      <c r="Q1781" s="471"/>
    </row>
    <row r="1782" spans="3:17">
      <c r="C1782" s="505">
        <f>IF(D1735="","-",+C1781+1)</f>
        <v>2059</v>
      </c>
      <c r="D1782" s="469">
        <f t="shared" si="166"/>
        <v>21379.24571428564</v>
      </c>
      <c r="E1782" s="511">
        <f t="shared" si="167"/>
        <v>14252.830476190476</v>
      </c>
      <c r="F1782" s="511">
        <f t="shared" si="160"/>
        <v>7126.4152380951637</v>
      </c>
      <c r="G1782" s="469">
        <f t="shared" si="161"/>
        <v>14252.830476190402</v>
      </c>
      <c r="H1782" s="506">
        <f>+J1736*G1782+E1782</f>
        <v>16390.274258989037</v>
      </c>
      <c r="I1782" s="512">
        <f>+J1737*G1782+E1782</f>
        <v>16390.274258989037</v>
      </c>
      <c r="J1782" s="509">
        <f t="shared" si="162"/>
        <v>0</v>
      </c>
      <c r="K1782" s="509"/>
      <c r="L1782" s="513"/>
      <c r="M1782" s="509">
        <f t="shared" si="163"/>
        <v>0</v>
      </c>
      <c r="N1782" s="513"/>
      <c r="O1782" s="509">
        <f t="shared" si="164"/>
        <v>0</v>
      </c>
      <c r="P1782" s="509">
        <f t="shared" si="165"/>
        <v>0</v>
      </c>
      <c r="Q1782" s="471"/>
    </row>
    <row r="1783" spans="3:17">
      <c r="C1783" s="505">
        <f>IF(D1735="","-",+C1782+1)</f>
        <v>2060</v>
      </c>
      <c r="D1783" s="469">
        <f t="shared" si="166"/>
        <v>7126.4152380951637</v>
      </c>
      <c r="E1783" s="511">
        <f t="shared" si="167"/>
        <v>7126.4152380951637</v>
      </c>
      <c r="F1783" s="511">
        <f t="shared" si="160"/>
        <v>0</v>
      </c>
      <c r="G1783" s="469">
        <f t="shared" si="161"/>
        <v>3563.2076190475818</v>
      </c>
      <c r="H1783" s="506">
        <f>+J1736*G1783+E1783</f>
        <v>7660.776183794801</v>
      </c>
      <c r="I1783" s="512">
        <f>+J1737*G1783+E1783</f>
        <v>7660.776183794801</v>
      </c>
      <c r="J1783" s="509">
        <f t="shared" si="162"/>
        <v>0</v>
      </c>
      <c r="K1783" s="509"/>
      <c r="L1783" s="513"/>
      <c r="M1783" s="509">
        <f t="shared" si="163"/>
        <v>0</v>
      </c>
      <c r="N1783" s="513"/>
      <c r="O1783" s="509">
        <f t="shared" si="164"/>
        <v>0</v>
      </c>
      <c r="P1783" s="509">
        <f t="shared" si="165"/>
        <v>0</v>
      </c>
      <c r="Q1783" s="471"/>
    </row>
    <row r="1784" spans="3:17">
      <c r="C1784" s="505">
        <f>IF(D1735="","-",+C1783+1)</f>
        <v>2061</v>
      </c>
      <c r="D1784" s="469">
        <f t="shared" si="166"/>
        <v>0</v>
      </c>
      <c r="E1784" s="511">
        <f t="shared" si="167"/>
        <v>0</v>
      </c>
      <c r="F1784" s="511">
        <f t="shared" si="160"/>
        <v>0</v>
      </c>
      <c r="G1784" s="469">
        <f t="shared" si="161"/>
        <v>0</v>
      </c>
      <c r="H1784" s="506">
        <f>+J1736*G1784+E1784</f>
        <v>0</v>
      </c>
      <c r="I1784" s="512">
        <f>+J1737*G1784+E1784</f>
        <v>0</v>
      </c>
      <c r="J1784" s="509">
        <f t="shared" si="162"/>
        <v>0</v>
      </c>
      <c r="K1784" s="509"/>
      <c r="L1784" s="513"/>
      <c r="M1784" s="509">
        <f t="shared" si="163"/>
        <v>0</v>
      </c>
      <c r="N1784" s="513"/>
      <c r="O1784" s="509">
        <f t="shared" si="164"/>
        <v>0</v>
      </c>
      <c r="P1784" s="509">
        <f t="shared" si="165"/>
        <v>0</v>
      </c>
      <c r="Q1784" s="471"/>
    </row>
    <row r="1785" spans="3:17">
      <c r="C1785" s="505">
        <f>IF(D1735="","-",+C1784+1)</f>
        <v>2062</v>
      </c>
      <c r="D1785" s="469">
        <f t="shared" si="166"/>
        <v>0</v>
      </c>
      <c r="E1785" s="511">
        <f t="shared" si="167"/>
        <v>0</v>
      </c>
      <c r="F1785" s="511">
        <f t="shared" si="160"/>
        <v>0</v>
      </c>
      <c r="G1785" s="469">
        <f t="shared" si="161"/>
        <v>0</v>
      </c>
      <c r="H1785" s="506">
        <f>+J1736*G1785+E1785</f>
        <v>0</v>
      </c>
      <c r="I1785" s="512">
        <f>+J1737*G1785+E1785</f>
        <v>0</v>
      </c>
      <c r="J1785" s="509">
        <f t="shared" si="162"/>
        <v>0</v>
      </c>
      <c r="K1785" s="509"/>
      <c r="L1785" s="513"/>
      <c r="M1785" s="509">
        <f t="shared" si="163"/>
        <v>0</v>
      </c>
      <c r="N1785" s="513"/>
      <c r="O1785" s="509">
        <f t="shared" si="164"/>
        <v>0</v>
      </c>
      <c r="P1785" s="509">
        <f t="shared" si="165"/>
        <v>0</v>
      </c>
      <c r="Q1785" s="471"/>
    </row>
    <row r="1786" spans="3:17">
      <c r="C1786" s="505">
        <f>IF(D1735="","-",+C1785+1)</f>
        <v>2063</v>
      </c>
      <c r="D1786" s="469">
        <f t="shared" si="166"/>
        <v>0</v>
      </c>
      <c r="E1786" s="511">
        <f t="shared" si="167"/>
        <v>0</v>
      </c>
      <c r="F1786" s="511">
        <f t="shared" si="160"/>
        <v>0</v>
      </c>
      <c r="G1786" s="469">
        <f t="shared" si="161"/>
        <v>0</v>
      </c>
      <c r="H1786" s="506">
        <f>+J1736*G1786+E1786</f>
        <v>0</v>
      </c>
      <c r="I1786" s="512">
        <f>+J1737*G1786+E1786</f>
        <v>0</v>
      </c>
      <c r="J1786" s="509">
        <f t="shared" si="162"/>
        <v>0</v>
      </c>
      <c r="K1786" s="509"/>
      <c r="L1786" s="513"/>
      <c r="M1786" s="509">
        <f t="shared" si="163"/>
        <v>0</v>
      </c>
      <c r="N1786" s="513"/>
      <c r="O1786" s="509">
        <f t="shared" si="164"/>
        <v>0</v>
      </c>
      <c r="P1786" s="509">
        <f t="shared" si="165"/>
        <v>0</v>
      </c>
      <c r="Q1786" s="471"/>
    </row>
    <row r="1787" spans="3:17">
      <c r="C1787" s="505">
        <f>IF(D1735="","-",+C1786+1)</f>
        <v>2064</v>
      </c>
      <c r="D1787" s="469">
        <f t="shared" si="166"/>
        <v>0</v>
      </c>
      <c r="E1787" s="511">
        <f t="shared" si="167"/>
        <v>0</v>
      </c>
      <c r="F1787" s="511">
        <f t="shared" si="160"/>
        <v>0</v>
      </c>
      <c r="G1787" s="469">
        <f t="shared" si="161"/>
        <v>0</v>
      </c>
      <c r="H1787" s="506">
        <f>+J1736*G1787+E1787</f>
        <v>0</v>
      </c>
      <c r="I1787" s="512">
        <f>+J1737*G1787+E1787</f>
        <v>0</v>
      </c>
      <c r="J1787" s="509">
        <f t="shared" si="162"/>
        <v>0</v>
      </c>
      <c r="K1787" s="509"/>
      <c r="L1787" s="513"/>
      <c r="M1787" s="509">
        <f t="shared" si="163"/>
        <v>0</v>
      </c>
      <c r="N1787" s="513"/>
      <c r="O1787" s="509">
        <f t="shared" si="164"/>
        <v>0</v>
      </c>
      <c r="P1787" s="509">
        <f t="shared" si="165"/>
        <v>0</v>
      </c>
      <c r="Q1787" s="471"/>
    </row>
    <row r="1788" spans="3:17">
      <c r="C1788" s="505">
        <f>IF(D1735="","-",+C1787+1)</f>
        <v>2065</v>
      </c>
      <c r="D1788" s="469">
        <f t="shared" si="166"/>
        <v>0</v>
      </c>
      <c r="E1788" s="511">
        <f t="shared" si="167"/>
        <v>0</v>
      </c>
      <c r="F1788" s="511">
        <f t="shared" si="160"/>
        <v>0</v>
      </c>
      <c r="G1788" s="469">
        <f t="shared" si="161"/>
        <v>0</v>
      </c>
      <c r="H1788" s="506">
        <f>+J1736*G1788+E1788</f>
        <v>0</v>
      </c>
      <c r="I1788" s="512">
        <f>+J1737*G1788+E1788</f>
        <v>0</v>
      </c>
      <c r="J1788" s="509">
        <f t="shared" si="162"/>
        <v>0</v>
      </c>
      <c r="K1788" s="509"/>
      <c r="L1788" s="513"/>
      <c r="M1788" s="509">
        <f t="shared" si="163"/>
        <v>0</v>
      </c>
      <c r="N1788" s="513"/>
      <c r="O1788" s="509">
        <f t="shared" si="164"/>
        <v>0</v>
      </c>
      <c r="P1788" s="509">
        <f t="shared" si="165"/>
        <v>0</v>
      </c>
      <c r="Q1788" s="471"/>
    </row>
    <row r="1789" spans="3:17">
      <c r="C1789" s="505">
        <f>IF(D1735="","-",+C1788+1)</f>
        <v>2066</v>
      </c>
      <c r="D1789" s="469">
        <f t="shared" si="166"/>
        <v>0</v>
      </c>
      <c r="E1789" s="511">
        <f t="shared" si="167"/>
        <v>0</v>
      </c>
      <c r="F1789" s="511">
        <f t="shared" si="160"/>
        <v>0</v>
      </c>
      <c r="G1789" s="469">
        <f t="shared" si="161"/>
        <v>0</v>
      </c>
      <c r="H1789" s="506">
        <f>+J1736*G1789+E1789</f>
        <v>0</v>
      </c>
      <c r="I1789" s="512">
        <f>+J1737*G1789+E1789</f>
        <v>0</v>
      </c>
      <c r="J1789" s="509">
        <f t="shared" si="162"/>
        <v>0</v>
      </c>
      <c r="K1789" s="509"/>
      <c r="L1789" s="513"/>
      <c r="M1789" s="509">
        <f t="shared" si="163"/>
        <v>0</v>
      </c>
      <c r="N1789" s="513"/>
      <c r="O1789" s="509">
        <f t="shared" si="164"/>
        <v>0</v>
      </c>
      <c r="P1789" s="509">
        <f t="shared" si="165"/>
        <v>0</v>
      </c>
      <c r="Q1789" s="471"/>
    </row>
    <row r="1790" spans="3:17">
      <c r="C1790" s="505">
        <f>IF(D1735="","-",+C1789+1)</f>
        <v>2067</v>
      </c>
      <c r="D1790" s="469">
        <f t="shared" si="166"/>
        <v>0</v>
      </c>
      <c r="E1790" s="511">
        <f t="shared" si="167"/>
        <v>0</v>
      </c>
      <c r="F1790" s="511">
        <f t="shared" si="160"/>
        <v>0</v>
      </c>
      <c r="G1790" s="469">
        <f t="shared" si="161"/>
        <v>0</v>
      </c>
      <c r="H1790" s="506">
        <f>+J1736*G1790+E1790</f>
        <v>0</v>
      </c>
      <c r="I1790" s="512">
        <f>+J1737*G1790+E1790</f>
        <v>0</v>
      </c>
      <c r="J1790" s="509">
        <f t="shared" si="162"/>
        <v>0</v>
      </c>
      <c r="K1790" s="509"/>
      <c r="L1790" s="513"/>
      <c r="M1790" s="509">
        <f t="shared" si="163"/>
        <v>0</v>
      </c>
      <c r="N1790" s="513"/>
      <c r="O1790" s="509">
        <f t="shared" si="164"/>
        <v>0</v>
      </c>
      <c r="P1790" s="509">
        <f t="shared" si="165"/>
        <v>0</v>
      </c>
      <c r="Q1790" s="471"/>
    </row>
    <row r="1791" spans="3:17">
      <c r="C1791" s="505">
        <f>IF(D1735="","-",+C1790+1)</f>
        <v>2068</v>
      </c>
      <c r="D1791" s="469">
        <f t="shared" si="166"/>
        <v>0</v>
      </c>
      <c r="E1791" s="511">
        <f t="shared" si="167"/>
        <v>0</v>
      </c>
      <c r="F1791" s="511">
        <f t="shared" si="160"/>
        <v>0</v>
      </c>
      <c r="G1791" s="469">
        <f t="shared" si="161"/>
        <v>0</v>
      </c>
      <c r="H1791" s="506">
        <f>+J1736*G1791+E1791</f>
        <v>0</v>
      </c>
      <c r="I1791" s="512">
        <f>+J1737*G1791+E1791</f>
        <v>0</v>
      </c>
      <c r="J1791" s="509">
        <f t="shared" si="162"/>
        <v>0</v>
      </c>
      <c r="K1791" s="509"/>
      <c r="L1791" s="513"/>
      <c r="M1791" s="509">
        <f t="shared" si="163"/>
        <v>0</v>
      </c>
      <c r="N1791" s="513"/>
      <c r="O1791" s="509">
        <f t="shared" si="164"/>
        <v>0</v>
      </c>
      <c r="P1791" s="509">
        <f t="shared" si="165"/>
        <v>0</v>
      </c>
      <c r="Q1791" s="471"/>
    </row>
    <row r="1792" spans="3:17">
      <c r="C1792" s="505">
        <f>IF(D1735="","-",+C1791+1)</f>
        <v>2069</v>
      </c>
      <c r="D1792" s="469">
        <f t="shared" si="166"/>
        <v>0</v>
      </c>
      <c r="E1792" s="511">
        <f t="shared" si="167"/>
        <v>0</v>
      </c>
      <c r="F1792" s="511">
        <f t="shared" si="160"/>
        <v>0</v>
      </c>
      <c r="G1792" s="469">
        <f t="shared" si="161"/>
        <v>0</v>
      </c>
      <c r="H1792" s="506">
        <f>+J1736*G1792+E1792</f>
        <v>0</v>
      </c>
      <c r="I1792" s="512">
        <f>+J1737*G1792+E1792</f>
        <v>0</v>
      </c>
      <c r="J1792" s="509">
        <f t="shared" si="162"/>
        <v>0</v>
      </c>
      <c r="K1792" s="509"/>
      <c r="L1792" s="513"/>
      <c r="M1792" s="509">
        <f t="shared" si="163"/>
        <v>0</v>
      </c>
      <c r="N1792" s="513"/>
      <c r="O1792" s="509">
        <f t="shared" si="164"/>
        <v>0</v>
      </c>
      <c r="P1792" s="509">
        <f t="shared" si="165"/>
        <v>0</v>
      </c>
      <c r="Q1792" s="471"/>
    </row>
    <row r="1793" spans="1:17">
      <c r="C1793" s="505">
        <f>IF(D1735="","-",+C1792+1)</f>
        <v>2070</v>
      </c>
      <c r="D1793" s="469">
        <f t="shared" si="166"/>
        <v>0</v>
      </c>
      <c r="E1793" s="511">
        <f t="shared" si="167"/>
        <v>0</v>
      </c>
      <c r="F1793" s="511">
        <f t="shared" si="160"/>
        <v>0</v>
      </c>
      <c r="G1793" s="469">
        <f t="shared" si="161"/>
        <v>0</v>
      </c>
      <c r="H1793" s="506">
        <f>+J1736*G1793+E1793</f>
        <v>0</v>
      </c>
      <c r="I1793" s="512">
        <f>+J1737*G1793+E1793</f>
        <v>0</v>
      </c>
      <c r="J1793" s="509">
        <f t="shared" si="162"/>
        <v>0</v>
      </c>
      <c r="K1793" s="509"/>
      <c r="L1793" s="513"/>
      <c r="M1793" s="509">
        <f t="shared" si="163"/>
        <v>0</v>
      </c>
      <c r="N1793" s="513"/>
      <c r="O1793" s="509">
        <f t="shared" si="164"/>
        <v>0</v>
      </c>
      <c r="P1793" s="509">
        <f t="shared" si="165"/>
        <v>0</v>
      </c>
      <c r="Q1793" s="471"/>
    </row>
    <row r="1794" spans="1:17">
      <c r="C1794" s="505">
        <f>IF(D1735="","-",+C1793+1)</f>
        <v>2071</v>
      </c>
      <c r="D1794" s="469">
        <f t="shared" si="166"/>
        <v>0</v>
      </c>
      <c r="E1794" s="511">
        <f t="shared" si="167"/>
        <v>0</v>
      </c>
      <c r="F1794" s="511">
        <f t="shared" si="160"/>
        <v>0</v>
      </c>
      <c r="G1794" s="469">
        <f t="shared" si="161"/>
        <v>0</v>
      </c>
      <c r="H1794" s="506">
        <f>+J1736*G1794+E1794</f>
        <v>0</v>
      </c>
      <c r="I1794" s="512">
        <f>+J1737*G1794+E1794</f>
        <v>0</v>
      </c>
      <c r="J1794" s="509">
        <f t="shared" si="162"/>
        <v>0</v>
      </c>
      <c r="K1794" s="509"/>
      <c r="L1794" s="513"/>
      <c r="M1794" s="509">
        <f t="shared" si="163"/>
        <v>0</v>
      </c>
      <c r="N1794" s="513"/>
      <c r="O1794" s="509">
        <f t="shared" si="164"/>
        <v>0</v>
      </c>
      <c r="P1794" s="509">
        <f t="shared" si="165"/>
        <v>0</v>
      </c>
      <c r="Q1794" s="471"/>
    </row>
    <row r="1795" spans="1:17">
      <c r="C1795" s="505">
        <f>IF(D1735="","-",+C1794+1)</f>
        <v>2072</v>
      </c>
      <c r="D1795" s="469">
        <f t="shared" si="166"/>
        <v>0</v>
      </c>
      <c r="E1795" s="511">
        <f t="shared" si="167"/>
        <v>0</v>
      </c>
      <c r="F1795" s="511">
        <f t="shared" si="160"/>
        <v>0</v>
      </c>
      <c r="G1795" s="469">
        <f t="shared" si="161"/>
        <v>0</v>
      </c>
      <c r="H1795" s="506">
        <f>+J1736*G1795+E1795</f>
        <v>0</v>
      </c>
      <c r="I1795" s="512">
        <f>+J1737*G1795+E1795</f>
        <v>0</v>
      </c>
      <c r="J1795" s="509">
        <f t="shared" si="162"/>
        <v>0</v>
      </c>
      <c r="K1795" s="509"/>
      <c r="L1795" s="513"/>
      <c r="M1795" s="509">
        <f t="shared" si="163"/>
        <v>0</v>
      </c>
      <c r="N1795" s="513"/>
      <c r="O1795" s="509">
        <f t="shared" si="164"/>
        <v>0</v>
      </c>
      <c r="P1795" s="509">
        <f t="shared" si="165"/>
        <v>0</v>
      </c>
      <c r="Q1795" s="471"/>
    </row>
    <row r="1796" spans="1:17">
      <c r="C1796" s="505">
        <f>IF(D1735="","-",+C1795+1)</f>
        <v>2073</v>
      </c>
      <c r="D1796" s="469">
        <f t="shared" si="166"/>
        <v>0</v>
      </c>
      <c r="E1796" s="511">
        <f t="shared" si="167"/>
        <v>0</v>
      </c>
      <c r="F1796" s="511">
        <f t="shared" si="160"/>
        <v>0</v>
      </c>
      <c r="G1796" s="469">
        <f t="shared" si="161"/>
        <v>0</v>
      </c>
      <c r="H1796" s="506">
        <f>+J1736*G1796+E1796</f>
        <v>0</v>
      </c>
      <c r="I1796" s="512">
        <f>+J1737*G1796+E1796</f>
        <v>0</v>
      </c>
      <c r="J1796" s="509">
        <f t="shared" si="162"/>
        <v>0</v>
      </c>
      <c r="K1796" s="509"/>
      <c r="L1796" s="513"/>
      <c r="M1796" s="509">
        <f t="shared" si="163"/>
        <v>0</v>
      </c>
      <c r="N1796" s="513"/>
      <c r="O1796" s="509">
        <f t="shared" si="164"/>
        <v>0</v>
      </c>
      <c r="P1796" s="509">
        <f t="shared" si="165"/>
        <v>0</v>
      </c>
      <c r="Q1796" s="471"/>
    </row>
    <row r="1797" spans="1:17">
      <c r="C1797" s="505">
        <f>IF(D1735="","-",+C1796+1)</f>
        <v>2074</v>
      </c>
      <c r="D1797" s="469">
        <f t="shared" si="166"/>
        <v>0</v>
      </c>
      <c r="E1797" s="511">
        <f t="shared" si="167"/>
        <v>0</v>
      </c>
      <c r="F1797" s="511">
        <f t="shared" si="160"/>
        <v>0</v>
      </c>
      <c r="G1797" s="469">
        <f t="shared" si="161"/>
        <v>0</v>
      </c>
      <c r="H1797" s="506">
        <f>+J1736*G1797+E1797</f>
        <v>0</v>
      </c>
      <c r="I1797" s="512">
        <f>+J1737*G1797+E1797</f>
        <v>0</v>
      </c>
      <c r="J1797" s="509">
        <f t="shared" si="162"/>
        <v>0</v>
      </c>
      <c r="K1797" s="509"/>
      <c r="L1797" s="513"/>
      <c r="M1797" s="509">
        <f t="shared" si="163"/>
        <v>0</v>
      </c>
      <c r="N1797" s="513"/>
      <c r="O1797" s="509">
        <f t="shared" si="164"/>
        <v>0</v>
      </c>
      <c r="P1797" s="509">
        <f t="shared" si="165"/>
        <v>0</v>
      </c>
      <c r="Q1797" s="471"/>
    </row>
    <row r="1798" spans="1:17">
      <c r="C1798" s="505">
        <f>IF(D1735="","-",+C1797+1)</f>
        <v>2075</v>
      </c>
      <c r="D1798" s="469">
        <f t="shared" si="166"/>
        <v>0</v>
      </c>
      <c r="E1798" s="511">
        <f t="shared" si="167"/>
        <v>0</v>
      </c>
      <c r="F1798" s="511">
        <f t="shared" si="160"/>
        <v>0</v>
      </c>
      <c r="G1798" s="469">
        <f t="shared" si="161"/>
        <v>0</v>
      </c>
      <c r="H1798" s="506">
        <f>+J1736*G1798+E1798</f>
        <v>0</v>
      </c>
      <c r="I1798" s="512">
        <f>+J1737*G1798+E1798</f>
        <v>0</v>
      </c>
      <c r="J1798" s="509">
        <f t="shared" si="162"/>
        <v>0</v>
      </c>
      <c r="K1798" s="509"/>
      <c r="L1798" s="513"/>
      <c r="M1798" s="509">
        <f t="shared" si="163"/>
        <v>0</v>
      </c>
      <c r="N1798" s="513"/>
      <c r="O1798" s="509">
        <f t="shared" si="164"/>
        <v>0</v>
      </c>
      <c r="P1798" s="509">
        <f t="shared" si="165"/>
        <v>0</v>
      </c>
      <c r="Q1798" s="471"/>
    </row>
    <row r="1799" spans="1:17">
      <c r="C1799" s="505">
        <f>IF(D1735="","-",+C1798+1)</f>
        <v>2076</v>
      </c>
      <c r="D1799" s="469">
        <f t="shared" si="166"/>
        <v>0</v>
      </c>
      <c r="E1799" s="511">
        <f t="shared" si="167"/>
        <v>0</v>
      </c>
      <c r="F1799" s="511">
        <f t="shared" si="160"/>
        <v>0</v>
      </c>
      <c r="G1799" s="469">
        <f t="shared" si="161"/>
        <v>0</v>
      </c>
      <c r="H1799" s="506">
        <f>+J1736*G1799+E1799</f>
        <v>0</v>
      </c>
      <c r="I1799" s="512">
        <f>+J1737*G1799+E1799</f>
        <v>0</v>
      </c>
      <c r="J1799" s="509">
        <f t="shared" si="162"/>
        <v>0</v>
      </c>
      <c r="K1799" s="509"/>
      <c r="L1799" s="513"/>
      <c r="M1799" s="509">
        <f t="shared" si="163"/>
        <v>0</v>
      </c>
      <c r="N1799" s="513"/>
      <c r="O1799" s="509">
        <f t="shared" si="164"/>
        <v>0</v>
      </c>
      <c r="P1799" s="509">
        <f t="shared" si="165"/>
        <v>0</v>
      </c>
      <c r="Q1799" s="471"/>
    </row>
    <row r="1800" spans="1:17" ht="13.5" thickBot="1">
      <c r="C1800" s="515">
        <f>IF(D1735="","-",+C1799+1)</f>
        <v>2077</v>
      </c>
      <c r="D1800" s="516">
        <f t="shared" si="166"/>
        <v>0</v>
      </c>
      <c r="E1800" s="976">
        <f t="shared" si="167"/>
        <v>0</v>
      </c>
      <c r="F1800" s="517">
        <f t="shared" si="160"/>
        <v>0</v>
      </c>
      <c r="G1800" s="516">
        <f t="shared" si="161"/>
        <v>0</v>
      </c>
      <c r="H1800" s="518">
        <f>+J1736*G1800+E1800</f>
        <v>0</v>
      </c>
      <c r="I1800" s="518">
        <f>+J1737*G1800+E1800</f>
        <v>0</v>
      </c>
      <c r="J1800" s="519">
        <f t="shared" si="162"/>
        <v>0</v>
      </c>
      <c r="K1800" s="509"/>
      <c r="L1800" s="520"/>
      <c r="M1800" s="519">
        <f t="shared" si="163"/>
        <v>0</v>
      </c>
      <c r="N1800" s="520"/>
      <c r="O1800" s="519">
        <f t="shared" si="164"/>
        <v>0</v>
      </c>
      <c r="P1800" s="519">
        <f t="shared" si="165"/>
        <v>0</v>
      </c>
      <c r="Q1800" s="471"/>
    </row>
    <row r="1801" spans="1:17">
      <c r="C1801" s="469" t="s">
        <v>288</v>
      </c>
      <c r="D1801" s="467"/>
      <c r="E1801" s="467">
        <f>SUM(E1741:E1800)</f>
        <v>598618.88</v>
      </c>
      <c r="F1801" s="467"/>
      <c r="G1801" s="467"/>
      <c r="H1801" s="467">
        <f>SUM(H1741:H1800)</f>
        <v>2528730.6158671104</v>
      </c>
      <c r="I1801" s="467">
        <f>SUM(I1741:I1800)</f>
        <v>2528730.6158671104</v>
      </c>
      <c r="J1801" s="467">
        <f>SUM(J1741:J1800)</f>
        <v>0</v>
      </c>
      <c r="K1801" s="467"/>
      <c r="L1801" s="467"/>
      <c r="M1801" s="467"/>
      <c r="N1801" s="467"/>
      <c r="O1801" s="467"/>
      <c r="Q1801" s="467"/>
    </row>
    <row r="1802" spans="1:17">
      <c r="D1802" s="79"/>
      <c r="E1802" s="4"/>
      <c r="F1802" s="4"/>
      <c r="G1802" s="4"/>
      <c r="H1802" s="4"/>
      <c r="I1802" s="452"/>
      <c r="J1802" s="452"/>
      <c r="K1802" s="467"/>
      <c r="L1802" s="452"/>
      <c r="M1802" s="452"/>
      <c r="N1802" s="452"/>
      <c r="O1802" s="452"/>
      <c r="Q1802" s="467"/>
    </row>
    <row r="1803" spans="1:17">
      <c r="C1803" s="4" t="s">
        <v>595</v>
      </c>
      <c r="D1803" s="79"/>
      <c r="E1803" s="4"/>
      <c r="F1803" s="4"/>
      <c r="G1803" s="4"/>
      <c r="H1803" s="4"/>
      <c r="I1803" s="452"/>
      <c r="J1803" s="452"/>
      <c r="K1803" s="467"/>
      <c r="L1803" s="452"/>
      <c r="M1803" s="452"/>
      <c r="N1803" s="452"/>
      <c r="O1803" s="452"/>
      <c r="Q1803" s="467"/>
    </row>
    <row r="1804" spans="1:17">
      <c r="D1804" s="79"/>
      <c r="E1804" s="4"/>
      <c r="F1804" s="4"/>
      <c r="G1804" s="4"/>
      <c r="H1804" s="4"/>
      <c r="I1804" s="452"/>
      <c r="J1804" s="452"/>
      <c r="K1804" s="467"/>
      <c r="L1804" s="452"/>
      <c r="M1804" s="452"/>
      <c r="N1804" s="452"/>
      <c r="O1804" s="452"/>
      <c r="Q1804" s="467"/>
    </row>
    <row r="1805" spans="1:17">
      <c r="C1805" s="4" t="s">
        <v>596</v>
      </c>
      <c r="D1805" s="469"/>
      <c r="E1805" s="469"/>
      <c r="F1805" s="469"/>
      <c r="G1805" s="469"/>
      <c r="H1805" s="467"/>
      <c r="I1805" s="467"/>
      <c r="J1805" s="471"/>
      <c r="K1805" s="471"/>
      <c r="L1805" s="471"/>
      <c r="M1805" s="471"/>
      <c r="N1805" s="471"/>
      <c r="O1805" s="471"/>
      <c r="Q1805" s="471"/>
    </row>
    <row r="1806" spans="1:17">
      <c r="C1806" s="4" t="s">
        <v>476</v>
      </c>
      <c r="D1806" s="469"/>
      <c r="E1806" s="469"/>
      <c r="F1806" s="469"/>
      <c r="G1806" s="469"/>
      <c r="H1806" s="467"/>
      <c r="I1806" s="467"/>
      <c r="J1806" s="471"/>
      <c r="K1806" s="471"/>
      <c r="L1806" s="471"/>
      <c r="M1806" s="471"/>
      <c r="N1806" s="471"/>
      <c r="O1806" s="471"/>
      <c r="Q1806" s="471"/>
    </row>
    <row r="1807" spans="1:17">
      <c r="C1807" s="4" t="s">
        <v>289</v>
      </c>
      <c r="D1807" s="469"/>
      <c r="E1807" s="469"/>
      <c r="F1807" s="469"/>
      <c r="G1807" s="469"/>
      <c r="H1807" s="467"/>
      <c r="I1807" s="467"/>
      <c r="J1807" s="471"/>
      <c r="K1807" s="471"/>
      <c r="L1807" s="471"/>
      <c r="M1807" s="471"/>
      <c r="N1807" s="471"/>
      <c r="O1807" s="471"/>
      <c r="Q1807" s="471"/>
    </row>
    <row r="1808" spans="1:17" ht="20.25">
      <c r="A1808" s="411" t="s">
        <v>762</v>
      </c>
      <c r="B1808" s="4"/>
      <c r="C1808" s="4"/>
      <c r="D1808" s="79"/>
      <c r="E1808" s="4"/>
      <c r="F1808" s="81"/>
      <c r="G1808" s="81"/>
      <c r="H1808" s="4"/>
      <c r="I1808" s="452"/>
      <c r="L1808" s="11"/>
      <c r="M1808" s="11"/>
      <c r="N1808" s="11"/>
      <c r="O1808" s="11" t="str">
        <f>"Page "&amp;SUM(Q$3:Q1808)&amp;" of "</f>
        <v xml:space="preserve">Page 22 of </v>
      </c>
      <c r="P1808" s="412">
        <f>COUNT(Q$8:Q$58212)</f>
        <v>23</v>
      </c>
      <c r="Q1808" s="539">
        <v>1</v>
      </c>
    </row>
    <row r="1809" spans="1:17">
      <c r="B1809" s="4"/>
      <c r="C1809" s="4"/>
      <c r="D1809" s="79"/>
      <c r="E1809" s="4"/>
      <c r="F1809" s="4"/>
      <c r="G1809" s="4"/>
      <c r="H1809" s="4"/>
      <c r="I1809" s="452"/>
      <c r="J1809" s="4"/>
      <c r="K1809" s="4"/>
    </row>
    <row r="1810" spans="1:17" ht="18">
      <c r="B1810" s="413" t="s">
        <v>174</v>
      </c>
      <c r="C1810" s="472" t="s">
        <v>290</v>
      </c>
      <c r="D1810" s="79"/>
      <c r="E1810" s="4"/>
      <c r="F1810" s="4"/>
      <c r="G1810" s="4"/>
      <c r="H1810" s="4"/>
      <c r="I1810" s="452"/>
      <c r="J1810" s="452"/>
      <c r="K1810" s="467"/>
      <c r="L1810" s="452"/>
      <c r="M1810" s="452"/>
      <c r="N1810" s="452"/>
      <c r="O1810" s="452"/>
      <c r="Q1810" s="467"/>
    </row>
    <row r="1811" spans="1:17" ht="18.75">
      <c r="B1811" s="413"/>
      <c r="C1811" s="13"/>
      <c r="D1811" s="79"/>
      <c r="E1811" s="4"/>
      <c r="F1811" s="4"/>
      <c r="G1811" s="4"/>
      <c r="H1811" s="4"/>
      <c r="I1811" s="452"/>
      <c r="J1811" s="452"/>
      <c r="K1811" s="467"/>
      <c r="L1811" s="452"/>
      <c r="M1811" s="452"/>
      <c r="N1811" s="452"/>
      <c r="O1811" s="452"/>
      <c r="Q1811" s="467"/>
    </row>
    <row r="1812" spans="1:17" ht="18.75">
      <c r="B1812" s="413"/>
      <c r="C1812" s="13" t="s">
        <v>291</v>
      </c>
      <c r="D1812" s="79"/>
      <c r="E1812" s="4"/>
      <c r="F1812" s="4"/>
      <c r="G1812" s="4"/>
      <c r="H1812" s="4"/>
      <c r="I1812" s="452"/>
      <c r="J1812" s="452"/>
      <c r="K1812" s="467"/>
      <c r="L1812" s="452"/>
      <c r="M1812" s="452"/>
      <c r="N1812" s="452"/>
      <c r="O1812" s="452"/>
      <c r="Q1812" s="467"/>
    </row>
    <row r="1813" spans="1:17" ht="15.75" thickBot="1">
      <c r="C1813" s="247"/>
      <c r="D1813" s="79"/>
      <c r="E1813" s="4"/>
      <c r="F1813" s="4"/>
      <c r="G1813" s="4"/>
      <c r="H1813" s="4"/>
      <c r="I1813" s="452"/>
      <c r="J1813" s="452"/>
      <c r="K1813" s="467"/>
      <c r="L1813" s="452"/>
      <c r="M1813" s="452"/>
      <c r="N1813" s="452"/>
      <c r="O1813" s="452"/>
      <c r="Q1813" s="467"/>
    </row>
    <row r="1814" spans="1:17" ht="15.75">
      <c r="C1814" s="414" t="s">
        <v>292</v>
      </c>
      <c r="D1814" s="79"/>
      <c r="E1814" s="4"/>
      <c r="F1814" s="4"/>
      <c r="G1814" s="4"/>
      <c r="H1814" s="635"/>
      <c r="I1814" s="4" t="s">
        <v>271</v>
      </c>
      <c r="J1814" s="4"/>
      <c r="K1814" s="4"/>
      <c r="L1814" s="540">
        <f>+J1820</f>
        <v>2025</v>
      </c>
      <c r="M1814" s="524" t="s">
        <v>254</v>
      </c>
      <c r="N1814" s="524" t="s">
        <v>255</v>
      </c>
      <c r="O1814" s="525" t="s">
        <v>256</v>
      </c>
    </row>
    <row r="1815" spans="1:17" ht="15.75">
      <c r="C1815" s="414"/>
      <c r="D1815" s="79"/>
      <c r="E1815" s="4"/>
      <c r="F1815" s="4"/>
      <c r="H1815" s="4"/>
      <c r="I1815" s="476"/>
      <c r="J1815" s="476"/>
      <c r="K1815" s="477"/>
      <c r="L1815" s="541" t="s">
        <v>455</v>
      </c>
      <c r="M1815" s="542">
        <f>VLOOKUP(J1820,C1827:P1886,10)</f>
        <v>116469.26682671777</v>
      </c>
      <c r="N1815" s="542">
        <f>VLOOKUP(J1820,C1827:P1886,12)</f>
        <v>116469.26682671777</v>
      </c>
      <c r="O1815" s="543">
        <f>+N1815-M1815</f>
        <v>0</v>
      </c>
      <c r="Q1815" s="477"/>
    </row>
    <row r="1816" spans="1:17">
      <c r="C1816" s="479" t="s">
        <v>293</v>
      </c>
      <c r="D1816" s="962" t="s">
        <v>956</v>
      </c>
      <c r="E1816" s="962"/>
      <c r="F1816" s="962"/>
      <c r="G1816" s="962"/>
      <c r="H1816" s="978"/>
      <c r="I1816" s="978"/>
      <c r="J1816" s="452"/>
      <c r="K1816" s="467"/>
      <c r="L1816" s="541" t="s">
        <v>456</v>
      </c>
      <c r="M1816" s="544">
        <f>VLOOKUP(J1820,C1827:P1886,6)</f>
        <v>119818.14547255319</v>
      </c>
      <c r="N1816" s="544">
        <f>VLOOKUP(J1820,C1827:P1886,7)</f>
        <v>119818.14547255319</v>
      </c>
      <c r="O1816" s="545">
        <f>+N1816-M1816</f>
        <v>0</v>
      </c>
      <c r="Q1816" s="467"/>
    </row>
    <row r="1817" spans="1:17" ht="13.5" thickBot="1">
      <c r="C1817" s="481"/>
      <c r="D1817" s="4" t="s">
        <v>114</v>
      </c>
      <c r="E1817" s="483"/>
      <c r="F1817" s="483"/>
      <c r="G1817" s="483"/>
      <c r="H1817" s="483"/>
      <c r="I1817" s="483"/>
      <c r="J1817" s="452"/>
      <c r="K1817" s="467"/>
      <c r="L1817" s="492" t="s">
        <v>457</v>
      </c>
      <c r="M1817" s="546">
        <f>+M1816-M1815</f>
        <v>3348.8786458354298</v>
      </c>
      <c r="N1817" s="546">
        <f>+N1816-N1815</f>
        <v>3348.8786458354298</v>
      </c>
      <c r="O1817" s="547">
        <f>+O1816-O1815</f>
        <v>0</v>
      </c>
      <c r="Q1817" s="467"/>
    </row>
    <row r="1818" spans="1:17" ht="13.5" thickBot="1">
      <c r="C1818" s="481"/>
      <c r="D1818" s="4"/>
      <c r="E1818" s="483"/>
      <c r="F1818" s="483"/>
      <c r="G1818" s="483"/>
      <c r="H1818" s="483"/>
      <c r="I1818" s="483"/>
      <c r="J1818" s="483"/>
      <c r="K1818" s="483"/>
      <c r="L1818" s="483"/>
      <c r="M1818" s="483"/>
      <c r="N1818" s="483"/>
      <c r="O1818" s="483"/>
      <c r="Q1818" s="483"/>
    </row>
    <row r="1819" spans="1:17" ht="12.95" customHeight="1" thickBot="1">
      <c r="C1819" s="484" t="s">
        <v>294</v>
      </c>
      <c r="D1819" s="485"/>
      <c r="E1819" s="485"/>
      <c r="F1819" s="485"/>
      <c r="G1819" s="485"/>
      <c r="H1819" s="485"/>
      <c r="I1819" s="485"/>
      <c r="J1819" s="485"/>
      <c r="Q1819"/>
    </row>
    <row r="1820" spans="1:17" ht="15">
      <c r="A1820" s="977"/>
      <c r="C1820" s="487" t="s">
        <v>272</v>
      </c>
      <c r="D1820" s="926">
        <v>845933.41000000015</v>
      </c>
      <c r="E1820" s="4" t="s">
        <v>273</v>
      </c>
      <c r="H1820" s="79"/>
      <c r="I1820" s="79"/>
      <c r="J1820" s="488">
        <f>$J$95</f>
        <v>2025</v>
      </c>
      <c r="K1820" s="135"/>
      <c r="L1820" s="1287" t="s">
        <v>274</v>
      </c>
      <c r="M1820" s="1287"/>
      <c r="N1820" s="1287"/>
      <c r="O1820" s="1287"/>
      <c r="Q1820" s="135"/>
    </row>
    <row r="1821" spans="1:17">
      <c r="A1821" s="977"/>
      <c r="C1821" s="487" t="s">
        <v>275</v>
      </c>
      <c r="D1821" s="636">
        <v>2016</v>
      </c>
      <c r="E1821" s="487" t="s">
        <v>276</v>
      </c>
      <c r="F1821" s="79"/>
      <c r="G1821" s="79"/>
      <c r="I1821"/>
      <c r="J1821" s="638">
        <v>0</v>
      </c>
      <c r="K1821" s="489"/>
      <c r="L1821" s="467" t="s">
        <v>475</v>
      </c>
      <c r="Q1821" s="489"/>
    </row>
    <row r="1822" spans="1:17">
      <c r="A1822" s="977"/>
      <c r="C1822" s="487" t="s">
        <v>277</v>
      </c>
      <c r="D1822" s="926">
        <v>6</v>
      </c>
      <c r="E1822" s="487" t="s">
        <v>278</v>
      </c>
      <c r="F1822" s="79"/>
      <c r="G1822" s="79"/>
      <c r="I1822"/>
      <c r="J1822" s="490">
        <f>$F$70</f>
        <v>0.14996626714737105</v>
      </c>
      <c r="K1822" s="81"/>
      <c r="L1822" s="4" t="str">
        <f>"          INPUT TRUE-UP ARR (WITH &amp; WITHOUT INCENTIVES) FROM EACH PRIOR YEAR"</f>
        <v xml:space="preserve">          INPUT TRUE-UP ARR (WITH &amp; WITHOUT INCENTIVES) FROM EACH PRIOR YEAR</v>
      </c>
      <c r="Q1822" s="81"/>
    </row>
    <row r="1823" spans="1:17">
      <c r="A1823" s="977"/>
      <c r="C1823" s="487" t="s">
        <v>279</v>
      </c>
      <c r="D1823" s="491">
        <f>H79</f>
        <v>42</v>
      </c>
      <c r="E1823" s="487" t="s">
        <v>280</v>
      </c>
      <c r="F1823" s="79"/>
      <c r="G1823" s="79"/>
      <c r="I1823"/>
      <c r="J1823" s="490">
        <f>IF(H1814="",J1822,$F$69)</f>
        <v>0.14996626714737105</v>
      </c>
      <c r="K1823" s="81"/>
      <c r="L1823" s="4" t="s">
        <v>362</v>
      </c>
      <c r="M1823" s="81"/>
      <c r="N1823" s="81"/>
      <c r="O1823" s="81"/>
      <c r="Q1823" s="81"/>
    </row>
    <row r="1824" spans="1:17" ht="13.5" thickBot="1">
      <c r="A1824" s="977"/>
      <c r="C1824" s="487" t="s">
        <v>281</v>
      </c>
      <c r="D1824" s="637" t="s">
        <v>923</v>
      </c>
      <c r="E1824" s="492" t="s">
        <v>282</v>
      </c>
      <c r="F1824" s="493"/>
      <c r="G1824" s="493"/>
      <c r="H1824" s="494"/>
      <c r="I1824" s="494"/>
      <c r="J1824" s="480">
        <f>IF(D1820=0,0,D1820/D1823)</f>
        <v>20141.271666666671</v>
      </c>
      <c r="K1824" s="467"/>
      <c r="L1824" s="467" t="s">
        <v>363</v>
      </c>
      <c r="M1824" s="467"/>
      <c r="N1824" s="467"/>
      <c r="O1824" s="467"/>
      <c r="Q1824" s="467"/>
    </row>
    <row r="1825" spans="1:17" ht="38.25">
      <c r="A1825" s="12"/>
      <c r="B1825" s="12"/>
      <c r="C1825" s="495" t="s">
        <v>272</v>
      </c>
      <c r="D1825" s="496" t="s">
        <v>283</v>
      </c>
      <c r="E1825" s="497" t="s">
        <v>284</v>
      </c>
      <c r="F1825" s="496" t="s">
        <v>285</v>
      </c>
      <c r="G1825" s="496" t="s">
        <v>458</v>
      </c>
      <c r="H1825" s="497" t="s">
        <v>356</v>
      </c>
      <c r="I1825" s="498" t="s">
        <v>356</v>
      </c>
      <c r="J1825" s="495" t="s">
        <v>295</v>
      </c>
      <c r="K1825" s="499"/>
      <c r="L1825" s="497" t="s">
        <v>358</v>
      </c>
      <c r="M1825" s="497" t="s">
        <v>364</v>
      </c>
      <c r="N1825" s="497" t="s">
        <v>358</v>
      </c>
      <c r="O1825" s="497" t="s">
        <v>366</v>
      </c>
      <c r="P1825" s="497" t="s">
        <v>286</v>
      </c>
      <c r="Q1825" s="128"/>
    </row>
    <row r="1826" spans="1:17" ht="13.5" thickBot="1">
      <c r="C1826" s="500" t="s">
        <v>177</v>
      </c>
      <c r="D1826" s="501" t="s">
        <v>178</v>
      </c>
      <c r="E1826" s="500" t="s">
        <v>37</v>
      </c>
      <c r="F1826" s="501" t="s">
        <v>178</v>
      </c>
      <c r="G1826" s="501" t="s">
        <v>178</v>
      </c>
      <c r="H1826" s="502" t="s">
        <v>298</v>
      </c>
      <c r="I1826" s="503" t="s">
        <v>300</v>
      </c>
      <c r="J1826" s="500" t="s">
        <v>389</v>
      </c>
      <c r="K1826" s="504"/>
      <c r="L1826" s="502" t="s">
        <v>287</v>
      </c>
      <c r="M1826" s="502" t="s">
        <v>287</v>
      </c>
      <c r="N1826" s="502" t="s">
        <v>467</v>
      </c>
      <c r="O1826" s="502" t="s">
        <v>467</v>
      </c>
      <c r="P1826" s="502" t="s">
        <v>467</v>
      </c>
      <c r="Q1826" s="135"/>
    </row>
    <row r="1827" spans="1:17">
      <c r="C1827" s="505">
        <f>IF(D1821= "","-",D1821)</f>
        <v>2016</v>
      </c>
      <c r="D1827" s="469">
        <f>+D1820</f>
        <v>845933.41000000015</v>
      </c>
      <c r="E1827" s="506">
        <f>+J1824/12*(12-D1822)</f>
        <v>10070.635833333336</v>
      </c>
      <c r="F1827" s="548">
        <f t="shared" ref="F1827:F1886" si="168">+D1827-E1827</f>
        <v>835862.77416666679</v>
      </c>
      <c r="G1827" s="469">
        <f t="shared" ref="G1827:G1858" si="169">+(D1827+F1827)/2</f>
        <v>840898.09208333353</v>
      </c>
      <c r="H1827" s="507">
        <f>+J1822*G1827+E1827</f>
        <v>136176.98375441716</v>
      </c>
      <c r="I1827" s="508">
        <f>+J1823*G1827+E1827</f>
        <v>136176.98375441716</v>
      </c>
      <c r="J1827" s="509">
        <f t="shared" ref="J1827:J1858" si="170">+I1827-H1827</f>
        <v>0</v>
      </c>
      <c r="K1827" s="509"/>
      <c r="L1827" s="513">
        <v>0</v>
      </c>
      <c r="M1827" s="549">
        <f t="shared" ref="M1827:M1858" si="171">IF(L1827&lt;&gt;0,+H1827-L1827,0)</f>
        <v>0</v>
      </c>
      <c r="N1827" s="513">
        <v>0</v>
      </c>
      <c r="O1827" s="549">
        <f t="shared" ref="O1827:O1858" si="172">IF(N1827&lt;&gt;0,+I1827-N1827,0)</f>
        <v>0</v>
      </c>
      <c r="P1827" s="549">
        <f t="shared" ref="P1827:P1886" si="173">+O1827-M1827</f>
        <v>0</v>
      </c>
      <c r="Q1827" s="471"/>
    </row>
    <row r="1828" spans="1:17">
      <c r="C1828" s="505">
        <f>IF(D1821="","-",+C1827+1)</f>
        <v>2017</v>
      </c>
      <c r="D1828" s="469">
        <f t="shared" ref="D1828:D1886" si="174">F1827</f>
        <v>835862.77416666679</v>
      </c>
      <c r="E1828" s="511">
        <f>IF(D1828&gt;$J$1824,$J$1824,D1828)</f>
        <v>20141.271666666671</v>
      </c>
      <c r="F1828" s="511">
        <f t="shared" si="168"/>
        <v>815721.50250000006</v>
      </c>
      <c r="G1828" s="469">
        <f t="shared" si="169"/>
        <v>825792.13833333342</v>
      </c>
      <c r="H1828" s="506">
        <f>+J1822*G1828+E1828</f>
        <v>143982.23609216214</v>
      </c>
      <c r="I1828" s="512">
        <f>+J1823*G1828+E1828</f>
        <v>143982.23609216214</v>
      </c>
      <c r="J1828" s="509">
        <f t="shared" si="170"/>
        <v>0</v>
      </c>
      <c r="K1828" s="509"/>
      <c r="L1828" s="513">
        <v>51695</v>
      </c>
      <c r="M1828" s="509">
        <f t="shared" si="171"/>
        <v>92287.236092162144</v>
      </c>
      <c r="N1828" s="513">
        <v>51695</v>
      </c>
      <c r="O1828" s="509">
        <f t="shared" si="172"/>
        <v>92287.236092162144</v>
      </c>
      <c r="P1828" s="509">
        <f t="shared" si="173"/>
        <v>0</v>
      </c>
      <c r="Q1828" s="471"/>
    </row>
    <row r="1829" spans="1:17">
      <c r="C1829" s="505">
        <f>IF(D1821="","-",+C1828+1)</f>
        <v>2018</v>
      </c>
      <c r="D1829" s="469">
        <f t="shared" si="174"/>
        <v>815721.50250000006</v>
      </c>
      <c r="E1829" s="511">
        <f t="shared" ref="E1829:E1886" si="175">IF(D1829&gt;$J$1824,$J$1824,D1829)</f>
        <v>20141.271666666671</v>
      </c>
      <c r="F1829" s="511">
        <f t="shared" si="168"/>
        <v>795580.23083333333</v>
      </c>
      <c r="G1829" s="469">
        <f t="shared" si="169"/>
        <v>805650.8666666667</v>
      </c>
      <c r="H1829" s="506">
        <f>+J1822*G1829+E1829</f>
        <v>140961.72476471102</v>
      </c>
      <c r="I1829" s="512">
        <f>+J1823*G1829+E1829</f>
        <v>140961.72476471102</v>
      </c>
      <c r="J1829" s="509">
        <f t="shared" si="170"/>
        <v>0</v>
      </c>
      <c r="K1829" s="509"/>
      <c r="L1829" s="513">
        <v>40449</v>
      </c>
      <c r="M1829" s="509">
        <f t="shared" si="171"/>
        <v>100512.72476471102</v>
      </c>
      <c r="N1829" s="513">
        <v>40449</v>
      </c>
      <c r="O1829" s="509">
        <f t="shared" si="172"/>
        <v>100512.72476471102</v>
      </c>
      <c r="P1829" s="509">
        <f t="shared" si="173"/>
        <v>0</v>
      </c>
      <c r="Q1829" s="471"/>
    </row>
    <row r="1830" spans="1:17">
      <c r="C1830" s="505">
        <f>IF(D1821="","-",+C1829+1)</f>
        <v>2019</v>
      </c>
      <c r="D1830" s="941">
        <f t="shared" si="174"/>
        <v>795580.23083333333</v>
      </c>
      <c r="E1830" s="511">
        <f t="shared" si="175"/>
        <v>20141.271666666671</v>
      </c>
      <c r="F1830" s="511">
        <f t="shared" si="168"/>
        <v>775438.95916666661</v>
      </c>
      <c r="G1830" s="469">
        <f t="shared" si="169"/>
        <v>785509.59499999997</v>
      </c>
      <c r="H1830" s="506">
        <f>+J1822*G1830+E1830</f>
        <v>137941.2134372599</v>
      </c>
      <c r="I1830" s="512">
        <f>+J1823*G1830+E1830</f>
        <v>137941.2134372599</v>
      </c>
      <c r="J1830" s="509">
        <f t="shared" si="170"/>
        <v>0</v>
      </c>
      <c r="K1830" s="509"/>
      <c r="L1830" s="513">
        <v>39370</v>
      </c>
      <c r="M1830" s="509">
        <f t="shared" si="171"/>
        <v>98571.213437259896</v>
      </c>
      <c r="N1830" s="513">
        <v>39370</v>
      </c>
      <c r="O1830" s="509">
        <f t="shared" si="172"/>
        <v>98571.213437259896</v>
      </c>
      <c r="P1830" s="509">
        <f t="shared" si="173"/>
        <v>0</v>
      </c>
      <c r="Q1830" s="471"/>
    </row>
    <row r="1831" spans="1:17">
      <c r="C1831" s="505">
        <f>IF(D1821="","-",+C1830+1)</f>
        <v>2020</v>
      </c>
      <c r="D1831" s="941">
        <f t="shared" si="174"/>
        <v>775438.95916666661</v>
      </c>
      <c r="E1831" s="511">
        <f t="shared" si="175"/>
        <v>20141.271666666671</v>
      </c>
      <c r="F1831" s="511">
        <f t="shared" si="168"/>
        <v>755297.68749999988</v>
      </c>
      <c r="G1831" s="469">
        <f t="shared" si="169"/>
        <v>765368.32333333325</v>
      </c>
      <c r="H1831" s="506">
        <f>+J1822*G1831+E1831</f>
        <v>134920.7021098088</v>
      </c>
      <c r="I1831" s="512">
        <f>+J1823*G1831+E1831</f>
        <v>134920.7021098088</v>
      </c>
      <c r="J1831" s="509">
        <f t="shared" si="170"/>
        <v>0</v>
      </c>
      <c r="K1831" s="509"/>
      <c r="L1831" s="513">
        <v>37964.794461843623</v>
      </c>
      <c r="M1831" s="509">
        <f t="shared" si="171"/>
        <v>96955.907647965185</v>
      </c>
      <c r="N1831" s="513">
        <v>37964.794461843623</v>
      </c>
      <c r="O1831" s="509">
        <f t="shared" si="172"/>
        <v>96955.907647965185</v>
      </c>
      <c r="P1831" s="509">
        <f t="shared" si="173"/>
        <v>0</v>
      </c>
      <c r="Q1831" s="471"/>
    </row>
    <row r="1832" spans="1:17">
      <c r="C1832" s="505">
        <f>IF(D1821="","-",+C1831+1)</f>
        <v>2021</v>
      </c>
      <c r="D1832" s="941">
        <f t="shared" si="174"/>
        <v>755297.68749999988</v>
      </c>
      <c r="E1832" s="511">
        <f t="shared" si="175"/>
        <v>20141.271666666671</v>
      </c>
      <c r="F1832" s="511">
        <f t="shared" si="168"/>
        <v>735156.41583333316</v>
      </c>
      <c r="G1832" s="469">
        <f t="shared" si="169"/>
        <v>745227.05166666652</v>
      </c>
      <c r="H1832" s="506">
        <f>+J1822*G1832+E1832</f>
        <v>131900.19078235768</v>
      </c>
      <c r="I1832" s="512">
        <f>+J1823*G1832+E1832</f>
        <v>131900.19078235768</v>
      </c>
      <c r="J1832" s="509">
        <f t="shared" si="170"/>
        <v>0</v>
      </c>
      <c r="K1832" s="509"/>
      <c r="L1832" s="513">
        <v>36250.871364654195</v>
      </c>
      <c r="M1832" s="509">
        <f t="shared" si="171"/>
        <v>95649.319417703489</v>
      </c>
      <c r="N1832" s="513">
        <v>36250.871364654195</v>
      </c>
      <c r="O1832" s="509">
        <f t="shared" si="172"/>
        <v>95649.319417703489</v>
      </c>
      <c r="P1832" s="509">
        <f t="shared" si="173"/>
        <v>0</v>
      </c>
      <c r="Q1832" s="471"/>
    </row>
    <row r="1833" spans="1:17">
      <c r="C1833" s="505">
        <f>IF(D1821="","-",+C1832+1)</f>
        <v>2022</v>
      </c>
      <c r="D1833" s="941">
        <f t="shared" si="174"/>
        <v>735156.41583333316</v>
      </c>
      <c r="E1833" s="511">
        <f t="shared" si="175"/>
        <v>20141.271666666671</v>
      </c>
      <c r="F1833" s="511">
        <f t="shared" si="168"/>
        <v>715015.14416666643</v>
      </c>
      <c r="G1833" s="469">
        <f t="shared" si="169"/>
        <v>725085.7799999998</v>
      </c>
      <c r="H1833" s="506">
        <f>+J1822*G1833+E1833</f>
        <v>128879.67945490655</v>
      </c>
      <c r="I1833" s="512">
        <f>+J1823*G1833+E1833</f>
        <v>128879.67945490655</v>
      </c>
      <c r="J1833" s="509">
        <f t="shared" si="170"/>
        <v>0</v>
      </c>
      <c r="K1833" s="509"/>
      <c r="L1833" s="513">
        <v>35610.568720160751</v>
      </c>
      <c r="M1833" s="509">
        <f t="shared" si="171"/>
        <v>93269.110734745802</v>
      </c>
      <c r="N1833" s="513">
        <v>35610.568720160751</v>
      </c>
      <c r="O1833" s="509">
        <f t="shared" si="172"/>
        <v>93269.110734745802</v>
      </c>
      <c r="P1833" s="509">
        <f t="shared" si="173"/>
        <v>0</v>
      </c>
      <c r="Q1833" s="471"/>
    </row>
    <row r="1834" spans="1:17">
      <c r="C1834" s="505">
        <f>IF(D1821="","-",+C1833+1)</f>
        <v>2023</v>
      </c>
      <c r="D1834" s="469">
        <f t="shared" si="174"/>
        <v>715015.14416666643</v>
      </c>
      <c r="E1834" s="511">
        <f t="shared" si="175"/>
        <v>20141.271666666671</v>
      </c>
      <c r="F1834" s="511">
        <f t="shared" si="168"/>
        <v>694873.87249999971</v>
      </c>
      <c r="G1834" s="469">
        <f t="shared" si="169"/>
        <v>704944.50833333307</v>
      </c>
      <c r="H1834" s="506">
        <f>+J1822*G1834+E1834</f>
        <v>125859.16812745543</v>
      </c>
      <c r="I1834" s="512">
        <f>+J1823*G1834+E1834</f>
        <v>125859.16812745543</v>
      </c>
      <c r="J1834" s="509">
        <f t="shared" si="170"/>
        <v>0</v>
      </c>
      <c r="K1834" s="509"/>
      <c r="L1834" s="513">
        <v>36193.223023793013</v>
      </c>
      <c r="M1834" s="509">
        <f t="shared" si="171"/>
        <v>89665.945103662409</v>
      </c>
      <c r="N1834" s="513">
        <v>36193.223023793013</v>
      </c>
      <c r="O1834" s="509">
        <f t="shared" si="172"/>
        <v>89665.945103662409</v>
      </c>
      <c r="P1834" s="509">
        <f t="shared" si="173"/>
        <v>0</v>
      </c>
      <c r="Q1834" s="471"/>
    </row>
    <row r="1835" spans="1:17">
      <c r="C1835" s="505">
        <f>IF(D1821="","-",+C1834+1)</f>
        <v>2024</v>
      </c>
      <c r="D1835" s="469">
        <f t="shared" si="174"/>
        <v>694873.87249999971</v>
      </c>
      <c r="E1835" s="511">
        <f t="shared" si="175"/>
        <v>20141.271666666671</v>
      </c>
      <c r="F1835" s="511">
        <f t="shared" si="168"/>
        <v>674732.60083333298</v>
      </c>
      <c r="G1835" s="469">
        <f t="shared" si="169"/>
        <v>684803.23666666634</v>
      </c>
      <c r="H1835" s="506">
        <f>+J1822*G1835+E1835</f>
        <v>122838.65680000432</v>
      </c>
      <c r="I1835" s="512">
        <f>+J1823*G1835+E1835</f>
        <v>122838.65680000432</v>
      </c>
      <c r="J1835" s="509">
        <f t="shared" si="170"/>
        <v>0</v>
      </c>
      <c r="K1835" s="509"/>
      <c r="L1835" s="513">
        <v>122961.6171117597</v>
      </c>
      <c r="M1835" s="509">
        <f t="shared" si="171"/>
        <v>-122.96031175537792</v>
      </c>
      <c r="N1835" s="513">
        <v>122961.6171117597</v>
      </c>
      <c r="O1835" s="509">
        <f t="shared" si="172"/>
        <v>-122.96031175537792</v>
      </c>
      <c r="P1835" s="509">
        <f t="shared" si="173"/>
        <v>0</v>
      </c>
      <c r="Q1835" s="471"/>
    </row>
    <row r="1836" spans="1:17">
      <c r="C1836" s="963">
        <f>IF(D1821="","-",+C1835+1)</f>
        <v>2025</v>
      </c>
      <c r="D1836" s="469">
        <f t="shared" si="174"/>
        <v>674732.60083333298</v>
      </c>
      <c r="E1836" s="511">
        <f t="shared" si="175"/>
        <v>20141.271666666671</v>
      </c>
      <c r="F1836" s="511">
        <f t="shared" si="168"/>
        <v>654591.32916666626</v>
      </c>
      <c r="G1836" s="469">
        <f t="shared" si="169"/>
        <v>664661.96499999962</v>
      </c>
      <c r="H1836" s="506">
        <f>+J1822*G1836+E1836</f>
        <v>119818.14547255319</v>
      </c>
      <c r="I1836" s="512">
        <f>+J1823*G1836+E1836</f>
        <v>119818.14547255319</v>
      </c>
      <c r="J1836" s="509">
        <f t="shared" si="170"/>
        <v>0</v>
      </c>
      <c r="K1836" s="509"/>
      <c r="L1836" s="513">
        <v>116469.26682671777</v>
      </c>
      <c r="M1836" s="509">
        <f t="shared" si="171"/>
        <v>3348.8786458354298</v>
      </c>
      <c r="N1836" s="513">
        <v>116469.26682671777</v>
      </c>
      <c r="O1836" s="509">
        <f t="shared" si="172"/>
        <v>3348.8786458354298</v>
      </c>
      <c r="P1836" s="509">
        <f t="shared" si="173"/>
        <v>0</v>
      </c>
      <c r="Q1836" s="471"/>
    </row>
    <row r="1837" spans="1:17">
      <c r="C1837" s="505">
        <f>IF(D1821="","-",+C1836+1)</f>
        <v>2026</v>
      </c>
      <c r="D1837" s="469">
        <f t="shared" si="174"/>
        <v>654591.32916666626</v>
      </c>
      <c r="E1837" s="511">
        <f t="shared" si="175"/>
        <v>20141.271666666671</v>
      </c>
      <c r="F1837" s="511">
        <f t="shared" si="168"/>
        <v>634450.05749999953</v>
      </c>
      <c r="G1837" s="469">
        <f t="shared" si="169"/>
        <v>644520.69333333289</v>
      </c>
      <c r="H1837" s="506">
        <f>+J1822*G1837+E1837</f>
        <v>116797.63414510207</v>
      </c>
      <c r="I1837" s="512">
        <f>+J1823*G1837+E1837</f>
        <v>116797.63414510207</v>
      </c>
      <c r="J1837" s="509">
        <f t="shared" si="170"/>
        <v>0</v>
      </c>
      <c r="K1837" s="509"/>
      <c r="L1837" s="513"/>
      <c r="M1837" s="509">
        <f t="shared" si="171"/>
        <v>0</v>
      </c>
      <c r="N1837" s="513"/>
      <c r="O1837" s="509">
        <f t="shared" si="172"/>
        <v>0</v>
      </c>
      <c r="P1837" s="509">
        <f t="shared" si="173"/>
        <v>0</v>
      </c>
      <c r="Q1837" s="471"/>
    </row>
    <row r="1838" spans="1:17">
      <c r="C1838" s="505">
        <f>IF(D1821="","-",+C1837+1)</f>
        <v>2027</v>
      </c>
      <c r="D1838" s="469">
        <f t="shared" si="174"/>
        <v>634450.05749999953</v>
      </c>
      <c r="E1838" s="511">
        <f t="shared" si="175"/>
        <v>20141.271666666671</v>
      </c>
      <c r="F1838" s="511">
        <f t="shared" si="168"/>
        <v>614308.7858333328</v>
      </c>
      <c r="G1838" s="469">
        <f t="shared" si="169"/>
        <v>624379.42166666617</v>
      </c>
      <c r="H1838" s="506">
        <f>+J1822*G1838+E1838</f>
        <v>113777.12281765096</v>
      </c>
      <c r="I1838" s="512">
        <f>+J1823*G1838+E1838</f>
        <v>113777.12281765096</v>
      </c>
      <c r="J1838" s="509">
        <f t="shared" si="170"/>
        <v>0</v>
      </c>
      <c r="K1838" s="509"/>
      <c r="L1838" s="513"/>
      <c r="M1838" s="509">
        <f t="shared" si="171"/>
        <v>0</v>
      </c>
      <c r="N1838" s="513"/>
      <c r="O1838" s="509">
        <f t="shared" si="172"/>
        <v>0</v>
      </c>
      <c r="P1838" s="509">
        <f t="shared" si="173"/>
        <v>0</v>
      </c>
      <c r="Q1838" s="471"/>
    </row>
    <row r="1839" spans="1:17">
      <c r="C1839" s="505">
        <f>IF(D1821="","-",+C1838+1)</f>
        <v>2028</v>
      </c>
      <c r="D1839" s="469">
        <f t="shared" si="174"/>
        <v>614308.7858333328</v>
      </c>
      <c r="E1839" s="511">
        <f t="shared" si="175"/>
        <v>20141.271666666671</v>
      </c>
      <c r="F1839" s="511">
        <f t="shared" si="168"/>
        <v>594167.51416666608</v>
      </c>
      <c r="G1839" s="469">
        <f t="shared" si="169"/>
        <v>604238.14999999944</v>
      </c>
      <c r="H1839" s="506">
        <f>+J1822*G1839+E1839</f>
        <v>110756.61149019984</v>
      </c>
      <c r="I1839" s="512">
        <f>+J1823*G1839+E1839</f>
        <v>110756.61149019984</v>
      </c>
      <c r="J1839" s="509">
        <f t="shared" si="170"/>
        <v>0</v>
      </c>
      <c r="K1839" s="509"/>
      <c r="L1839" s="513"/>
      <c r="M1839" s="509">
        <f t="shared" si="171"/>
        <v>0</v>
      </c>
      <c r="N1839" s="513"/>
      <c r="O1839" s="509">
        <f t="shared" si="172"/>
        <v>0</v>
      </c>
      <c r="P1839" s="509">
        <f t="shared" si="173"/>
        <v>0</v>
      </c>
      <c r="Q1839" s="471"/>
    </row>
    <row r="1840" spans="1:17">
      <c r="C1840" s="505">
        <f>IF(D1821="","-",+C1839+1)</f>
        <v>2029</v>
      </c>
      <c r="D1840" s="469">
        <f t="shared" si="174"/>
        <v>594167.51416666608</v>
      </c>
      <c r="E1840" s="511">
        <f t="shared" si="175"/>
        <v>20141.271666666671</v>
      </c>
      <c r="F1840" s="511">
        <f t="shared" si="168"/>
        <v>574026.24249999935</v>
      </c>
      <c r="G1840" s="469">
        <f t="shared" si="169"/>
        <v>584096.87833333272</v>
      </c>
      <c r="H1840" s="506">
        <f>+J1822*G1840+E1840</f>
        <v>107736.10016274873</v>
      </c>
      <c r="I1840" s="512">
        <f>+J1823*G1840+E1840</f>
        <v>107736.10016274873</v>
      </c>
      <c r="J1840" s="509">
        <f t="shared" si="170"/>
        <v>0</v>
      </c>
      <c r="K1840" s="509"/>
      <c r="L1840" s="513"/>
      <c r="M1840" s="509">
        <f t="shared" si="171"/>
        <v>0</v>
      </c>
      <c r="N1840" s="513"/>
      <c r="O1840" s="509">
        <f t="shared" si="172"/>
        <v>0</v>
      </c>
      <c r="P1840" s="509">
        <f t="shared" si="173"/>
        <v>0</v>
      </c>
      <c r="Q1840" s="471"/>
    </row>
    <row r="1841" spans="3:17">
      <c r="C1841" s="505">
        <f>IF(D1821="","-",+C1840+1)</f>
        <v>2030</v>
      </c>
      <c r="D1841" s="469">
        <f t="shared" si="174"/>
        <v>574026.24249999935</v>
      </c>
      <c r="E1841" s="511">
        <f t="shared" si="175"/>
        <v>20141.271666666671</v>
      </c>
      <c r="F1841" s="511">
        <f t="shared" si="168"/>
        <v>553884.97083333263</v>
      </c>
      <c r="G1841" s="469">
        <f t="shared" si="169"/>
        <v>563955.60666666599</v>
      </c>
      <c r="H1841" s="506">
        <f>+J1822*G1841+E1841</f>
        <v>104715.5888352976</v>
      </c>
      <c r="I1841" s="512">
        <f>+J1823*G1841+E1841</f>
        <v>104715.5888352976</v>
      </c>
      <c r="J1841" s="509">
        <f t="shared" si="170"/>
        <v>0</v>
      </c>
      <c r="K1841" s="509"/>
      <c r="L1841" s="513"/>
      <c r="M1841" s="509">
        <f t="shared" si="171"/>
        <v>0</v>
      </c>
      <c r="N1841" s="513"/>
      <c r="O1841" s="509">
        <f t="shared" si="172"/>
        <v>0</v>
      </c>
      <c r="P1841" s="509">
        <f t="shared" si="173"/>
        <v>0</v>
      </c>
      <c r="Q1841" s="471"/>
    </row>
    <row r="1842" spans="3:17">
      <c r="C1842" s="505">
        <f>IF(D1821="","-",+C1841+1)</f>
        <v>2031</v>
      </c>
      <c r="D1842" s="469">
        <f t="shared" si="174"/>
        <v>553884.97083333263</v>
      </c>
      <c r="E1842" s="511">
        <f t="shared" si="175"/>
        <v>20141.271666666671</v>
      </c>
      <c r="F1842" s="511">
        <f t="shared" si="168"/>
        <v>533743.6991666659</v>
      </c>
      <c r="G1842" s="469">
        <f t="shared" si="169"/>
        <v>543814.33499999926</v>
      </c>
      <c r="H1842" s="506">
        <f>+J1822*G1842+E1842</f>
        <v>101695.07750784649</v>
      </c>
      <c r="I1842" s="512">
        <f>+J1823*G1842+E1842</f>
        <v>101695.07750784649</v>
      </c>
      <c r="J1842" s="509">
        <f t="shared" si="170"/>
        <v>0</v>
      </c>
      <c r="K1842" s="509"/>
      <c r="L1842" s="513"/>
      <c r="M1842" s="509">
        <f t="shared" si="171"/>
        <v>0</v>
      </c>
      <c r="N1842" s="513"/>
      <c r="O1842" s="509">
        <f t="shared" si="172"/>
        <v>0</v>
      </c>
      <c r="P1842" s="509">
        <f t="shared" si="173"/>
        <v>0</v>
      </c>
      <c r="Q1842" s="471"/>
    </row>
    <row r="1843" spans="3:17">
      <c r="C1843" s="505">
        <f>IF(D1821="","-",+C1842+1)</f>
        <v>2032</v>
      </c>
      <c r="D1843" s="469">
        <f t="shared" si="174"/>
        <v>533743.6991666659</v>
      </c>
      <c r="E1843" s="511">
        <f t="shared" si="175"/>
        <v>20141.271666666671</v>
      </c>
      <c r="F1843" s="511">
        <f t="shared" si="168"/>
        <v>513602.42749999923</v>
      </c>
      <c r="G1843" s="469">
        <f t="shared" si="169"/>
        <v>523673.06333333254</v>
      </c>
      <c r="H1843" s="506">
        <f>+J1822*G1843+E1843</f>
        <v>98674.56618039537</v>
      </c>
      <c r="I1843" s="512">
        <f>+J1823*G1843+E1843</f>
        <v>98674.56618039537</v>
      </c>
      <c r="J1843" s="509">
        <f t="shared" si="170"/>
        <v>0</v>
      </c>
      <c r="K1843" s="509"/>
      <c r="L1843" s="513"/>
      <c r="M1843" s="509">
        <f t="shared" si="171"/>
        <v>0</v>
      </c>
      <c r="N1843" s="513"/>
      <c r="O1843" s="509">
        <f t="shared" si="172"/>
        <v>0</v>
      </c>
      <c r="P1843" s="509">
        <f t="shared" si="173"/>
        <v>0</v>
      </c>
      <c r="Q1843" s="471"/>
    </row>
    <row r="1844" spans="3:17">
      <c r="C1844" s="505">
        <f>IF(D1821="","-",+C1843+1)</f>
        <v>2033</v>
      </c>
      <c r="D1844" s="469">
        <f t="shared" si="174"/>
        <v>513602.42749999923</v>
      </c>
      <c r="E1844" s="511">
        <f t="shared" si="175"/>
        <v>20141.271666666671</v>
      </c>
      <c r="F1844" s="511">
        <f t="shared" si="168"/>
        <v>493461.15583333257</v>
      </c>
      <c r="G1844" s="469">
        <f t="shared" si="169"/>
        <v>503531.79166666593</v>
      </c>
      <c r="H1844" s="506">
        <f>+J1822*G1844+E1844</f>
        <v>95654.054852944275</v>
      </c>
      <c r="I1844" s="512">
        <f>+J1823*G1844+E1844</f>
        <v>95654.054852944275</v>
      </c>
      <c r="J1844" s="509">
        <f t="shared" si="170"/>
        <v>0</v>
      </c>
      <c r="K1844" s="509"/>
      <c r="L1844" s="513"/>
      <c r="M1844" s="509">
        <f t="shared" si="171"/>
        <v>0</v>
      </c>
      <c r="N1844" s="513"/>
      <c r="O1844" s="509">
        <f t="shared" si="172"/>
        <v>0</v>
      </c>
      <c r="P1844" s="509">
        <f t="shared" si="173"/>
        <v>0</v>
      </c>
      <c r="Q1844" s="471"/>
    </row>
    <row r="1845" spans="3:17">
      <c r="C1845" s="505">
        <f>IF(D1821="","-",+C1844+1)</f>
        <v>2034</v>
      </c>
      <c r="D1845" s="469">
        <f t="shared" si="174"/>
        <v>493461.15583333257</v>
      </c>
      <c r="E1845" s="511">
        <f t="shared" si="175"/>
        <v>20141.271666666671</v>
      </c>
      <c r="F1845" s="511">
        <f t="shared" si="168"/>
        <v>473319.8841666659</v>
      </c>
      <c r="G1845" s="469">
        <f t="shared" si="169"/>
        <v>483390.5199999992</v>
      </c>
      <c r="H1845" s="506">
        <f>+J1822*G1845+E1845</f>
        <v>92633.543525493151</v>
      </c>
      <c r="I1845" s="512">
        <f>+J1823*G1845+E1845</f>
        <v>92633.543525493151</v>
      </c>
      <c r="J1845" s="509">
        <f t="shared" si="170"/>
        <v>0</v>
      </c>
      <c r="K1845" s="509"/>
      <c r="L1845" s="513"/>
      <c r="M1845" s="509">
        <f t="shared" si="171"/>
        <v>0</v>
      </c>
      <c r="N1845" s="513"/>
      <c r="O1845" s="509">
        <f t="shared" si="172"/>
        <v>0</v>
      </c>
      <c r="P1845" s="509">
        <f t="shared" si="173"/>
        <v>0</v>
      </c>
      <c r="Q1845" s="471"/>
    </row>
    <row r="1846" spans="3:17">
      <c r="C1846" s="505">
        <f>IF(D1821="","-",+C1845+1)</f>
        <v>2035</v>
      </c>
      <c r="D1846" s="469">
        <f t="shared" si="174"/>
        <v>473319.8841666659</v>
      </c>
      <c r="E1846" s="511">
        <f t="shared" si="175"/>
        <v>20141.271666666671</v>
      </c>
      <c r="F1846" s="511">
        <f t="shared" si="168"/>
        <v>453178.61249999923</v>
      </c>
      <c r="G1846" s="469">
        <f t="shared" si="169"/>
        <v>463249.24833333259</v>
      </c>
      <c r="H1846" s="506">
        <f>+J1822*G1846+E1846</f>
        <v>89613.032198042056</v>
      </c>
      <c r="I1846" s="512">
        <f>+J1823*G1846+E1846</f>
        <v>89613.032198042056</v>
      </c>
      <c r="J1846" s="509">
        <f t="shared" si="170"/>
        <v>0</v>
      </c>
      <c r="K1846" s="509"/>
      <c r="L1846" s="513"/>
      <c r="M1846" s="509">
        <f t="shared" si="171"/>
        <v>0</v>
      </c>
      <c r="N1846" s="513"/>
      <c r="O1846" s="509">
        <f t="shared" si="172"/>
        <v>0</v>
      </c>
      <c r="P1846" s="509">
        <f t="shared" si="173"/>
        <v>0</v>
      </c>
      <c r="Q1846" s="471"/>
    </row>
    <row r="1847" spans="3:17">
      <c r="C1847" s="505">
        <f>IF(D1821="","-",+C1846+1)</f>
        <v>2036</v>
      </c>
      <c r="D1847" s="469">
        <f t="shared" si="174"/>
        <v>453178.61249999923</v>
      </c>
      <c r="E1847" s="511">
        <f t="shared" si="175"/>
        <v>20141.271666666671</v>
      </c>
      <c r="F1847" s="511">
        <f t="shared" si="168"/>
        <v>433037.34083333256</v>
      </c>
      <c r="G1847" s="469">
        <f t="shared" si="169"/>
        <v>443107.97666666587</v>
      </c>
      <c r="H1847" s="506">
        <f>+J1822*G1847+E1847</f>
        <v>86592.520870590932</v>
      </c>
      <c r="I1847" s="512">
        <f>+J1823*G1847+E1847</f>
        <v>86592.520870590932</v>
      </c>
      <c r="J1847" s="509">
        <f t="shared" si="170"/>
        <v>0</v>
      </c>
      <c r="K1847" s="509"/>
      <c r="L1847" s="513"/>
      <c r="M1847" s="509">
        <f t="shared" si="171"/>
        <v>0</v>
      </c>
      <c r="N1847" s="513"/>
      <c r="O1847" s="509">
        <f t="shared" si="172"/>
        <v>0</v>
      </c>
      <c r="P1847" s="509">
        <f t="shared" si="173"/>
        <v>0</v>
      </c>
      <c r="Q1847" s="471"/>
    </row>
    <row r="1848" spans="3:17">
      <c r="C1848" s="505">
        <f>IF(D1821="","-",+C1847+1)</f>
        <v>2037</v>
      </c>
      <c r="D1848" s="469">
        <f t="shared" si="174"/>
        <v>433037.34083333256</v>
      </c>
      <c r="E1848" s="511">
        <f t="shared" si="175"/>
        <v>20141.271666666671</v>
      </c>
      <c r="F1848" s="511">
        <f t="shared" si="168"/>
        <v>412896.0691666659</v>
      </c>
      <c r="G1848" s="469">
        <f t="shared" si="169"/>
        <v>422966.70499999926</v>
      </c>
      <c r="H1848" s="506">
        <f>+J1822*G1848+E1848</f>
        <v>83572.009543139837</v>
      </c>
      <c r="I1848" s="512">
        <f>+J1823*G1848+E1848</f>
        <v>83572.009543139837</v>
      </c>
      <c r="J1848" s="509">
        <f t="shared" si="170"/>
        <v>0</v>
      </c>
      <c r="K1848" s="509"/>
      <c r="L1848" s="513"/>
      <c r="M1848" s="509">
        <f t="shared" si="171"/>
        <v>0</v>
      </c>
      <c r="N1848" s="513"/>
      <c r="O1848" s="509">
        <f t="shared" si="172"/>
        <v>0</v>
      </c>
      <c r="P1848" s="509">
        <f t="shared" si="173"/>
        <v>0</v>
      </c>
      <c r="Q1848" s="471"/>
    </row>
    <row r="1849" spans="3:17">
      <c r="C1849" s="505">
        <f>IF(D1821="","-",+C1848+1)</f>
        <v>2038</v>
      </c>
      <c r="D1849" s="469">
        <f t="shared" si="174"/>
        <v>412896.0691666659</v>
      </c>
      <c r="E1849" s="511">
        <f t="shared" si="175"/>
        <v>20141.271666666671</v>
      </c>
      <c r="F1849" s="511">
        <f t="shared" si="168"/>
        <v>392754.79749999923</v>
      </c>
      <c r="G1849" s="469">
        <f t="shared" si="169"/>
        <v>402825.43333333253</v>
      </c>
      <c r="H1849" s="506">
        <f>+J1822*G1849+E1849</f>
        <v>80551.498215688727</v>
      </c>
      <c r="I1849" s="512">
        <f>+J1823*G1849+E1849</f>
        <v>80551.498215688727</v>
      </c>
      <c r="J1849" s="509">
        <f t="shared" si="170"/>
        <v>0</v>
      </c>
      <c r="K1849" s="509"/>
      <c r="L1849" s="513"/>
      <c r="M1849" s="509">
        <f t="shared" si="171"/>
        <v>0</v>
      </c>
      <c r="N1849" s="513"/>
      <c r="O1849" s="509">
        <f t="shared" si="172"/>
        <v>0</v>
      </c>
      <c r="P1849" s="509">
        <f t="shared" si="173"/>
        <v>0</v>
      </c>
      <c r="Q1849" s="471"/>
    </row>
    <row r="1850" spans="3:17">
      <c r="C1850" s="505">
        <f>IF(D1821="","-",+C1849+1)</f>
        <v>2039</v>
      </c>
      <c r="D1850" s="469">
        <f t="shared" si="174"/>
        <v>392754.79749999923</v>
      </c>
      <c r="E1850" s="511">
        <f t="shared" si="175"/>
        <v>20141.271666666671</v>
      </c>
      <c r="F1850" s="511">
        <f t="shared" si="168"/>
        <v>372613.52583333256</v>
      </c>
      <c r="G1850" s="469">
        <f t="shared" si="169"/>
        <v>382684.16166666592</v>
      </c>
      <c r="H1850" s="506">
        <f>+J1822*G1850+E1850</f>
        <v>77530.986888237618</v>
      </c>
      <c r="I1850" s="512">
        <f>+J1823*G1850+E1850</f>
        <v>77530.986888237618</v>
      </c>
      <c r="J1850" s="509">
        <f t="shared" si="170"/>
        <v>0</v>
      </c>
      <c r="K1850" s="509"/>
      <c r="L1850" s="513"/>
      <c r="M1850" s="509">
        <f t="shared" si="171"/>
        <v>0</v>
      </c>
      <c r="N1850" s="513"/>
      <c r="O1850" s="509">
        <f t="shared" si="172"/>
        <v>0</v>
      </c>
      <c r="P1850" s="509">
        <f t="shared" si="173"/>
        <v>0</v>
      </c>
      <c r="Q1850" s="471"/>
    </row>
    <row r="1851" spans="3:17">
      <c r="C1851" s="505">
        <f>IF(D1821="","-",+C1850+1)</f>
        <v>2040</v>
      </c>
      <c r="D1851" s="469">
        <f t="shared" si="174"/>
        <v>372613.52583333256</v>
      </c>
      <c r="E1851" s="511">
        <f t="shared" si="175"/>
        <v>20141.271666666671</v>
      </c>
      <c r="F1851" s="511">
        <f t="shared" si="168"/>
        <v>352472.25416666589</v>
      </c>
      <c r="G1851" s="469">
        <f t="shared" si="169"/>
        <v>362542.8899999992</v>
      </c>
      <c r="H1851" s="506">
        <f>+J1822*G1851+E1851</f>
        <v>74510.475560786508</v>
      </c>
      <c r="I1851" s="512">
        <f>+J1823*G1851+E1851</f>
        <v>74510.475560786508</v>
      </c>
      <c r="J1851" s="509">
        <f t="shared" si="170"/>
        <v>0</v>
      </c>
      <c r="K1851" s="509"/>
      <c r="L1851" s="513"/>
      <c r="M1851" s="509">
        <f t="shared" si="171"/>
        <v>0</v>
      </c>
      <c r="N1851" s="513"/>
      <c r="O1851" s="509">
        <f t="shared" si="172"/>
        <v>0</v>
      </c>
      <c r="P1851" s="509">
        <f t="shared" si="173"/>
        <v>0</v>
      </c>
      <c r="Q1851" s="471"/>
    </row>
    <row r="1852" spans="3:17">
      <c r="C1852" s="505">
        <f>IF(D1821="","-",+C1851+1)</f>
        <v>2041</v>
      </c>
      <c r="D1852" s="469">
        <f t="shared" si="174"/>
        <v>352472.25416666589</v>
      </c>
      <c r="E1852" s="511">
        <f t="shared" si="175"/>
        <v>20141.271666666671</v>
      </c>
      <c r="F1852" s="511">
        <f t="shared" si="168"/>
        <v>332330.98249999923</v>
      </c>
      <c r="G1852" s="469">
        <f t="shared" si="169"/>
        <v>342401.61833333259</v>
      </c>
      <c r="H1852" s="506">
        <f>+J1822*G1852+E1852</f>
        <v>71489.964233335413</v>
      </c>
      <c r="I1852" s="512">
        <f>+J1823*G1852+E1852</f>
        <v>71489.964233335413</v>
      </c>
      <c r="J1852" s="509">
        <f t="shared" si="170"/>
        <v>0</v>
      </c>
      <c r="K1852" s="509"/>
      <c r="L1852" s="513"/>
      <c r="M1852" s="509">
        <f t="shared" si="171"/>
        <v>0</v>
      </c>
      <c r="N1852" s="513"/>
      <c r="O1852" s="509">
        <f t="shared" si="172"/>
        <v>0</v>
      </c>
      <c r="P1852" s="509">
        <f t="shared" si="173"/>
        <v>0</v>
      </c>
      <c r="Q1852" s="471"/>
    </row>
    <row r="1853" spans="3:17">
      <c r="C1853" s="505">
        <f>IF(D1821="","-",+C1852+1)</f>
        <v>2042</v>
      </c>
      <c r="D1853" s="469">
        <f t="shared" si="174"/>
        <v>332330.98249999923</v>
      </c>
      <c r="E1853" s="511">
        <f t="shared" si="175"/>
        <v>20141.271666666671</v>
      </c>
      <c r="F1853" s="511">
        <f t="shared" si="168"/>
        <v>312189.71083333256</v>
      </c>
      <c r="G1853" s="469">
        <f t="shared" si="169"/>
        <v>322260.34666666586</v>
      </c>
      <c r="H1853" s="506">
        <f>+J1822*G1853+E1853</f>
        <v>68469.452905884289</v>
      </c>
      <c r="I1853" s="512">
        <f>+J1823*G1853+E1853</f>
        <v>68469.452905884289</v>
      </c>
      <c r="J1853" s="509">
        <f t="shared" si="170"/>
        <v>0</v>
      </c>
      <c r="K1853" s="509"/>
      <c r="L1853" s="513"/>
      <c r="M1853" s="509">
        <f t="shared" si="171"/>
        <v>0</v>
      </c>
      <c r="N1853" s="513"/>
      <c r="O1853" s="509">
        <f t="shared" si="172"/>
        <v>0</v>
      </c>
      <c r="P1853" s="509">
        <f t="shared" si="173"/>
        <v>0</v>
      </c>
      <c r="Q1853" s="471"/>
    </row>
    <row r="1854" spans="3:17">
      <c r="C1854" s="505">
        <f>IF(D1821="","-",+C1853+1)</f>
        <v>2043</v>
      </c>
      <c r="D1854" s="469">
        <f t="shared" si="174"/>
        <v>312189.71083333256</v>
      </c>
      <c r="E1854" s="511">
        <f t="shared" si="175"/>
        <v>20141.271666666671</v>
      </c>
      <c r="F1854" s="511">
        <f t="shared" si="168"/>
        <v>292048.43916666589</v>
      </c>
      <c r="G1854" s="469">
        <f t="shared" si="169"/>
        <v>302119.07499999925</v>
      </c>
      <c r="H1854" s="506">
        <f>+J1822*G1854+E1854</f>
        <v>65448.941578433194</v>
      </c>
      <c r="I1854" s="512">
        <f>+J1823*G1854+E1854</f>
        <v>65448.941578433194</v>
      </c>
      <c r="J1854" s="509">
        <f t="shared" si="170"/>
        <v>0</v>
      </c>
      <c r="K1854" s="509"/>
      <c r="L1854" s="513"/>
      <c r="M1854" s="509">
        <f t="shared" si="171"/>
        <v>0</v>
      </c>
      <c r="N1854" s="513"/>
      <c r="O1854" s="509">
        <f t="shared" si="172"/>
        <v>0</v>
      </c>
      <c r="P1854" s="509">
        <f t="shared" si="173"/>
        <v>0</v>
      </c>
      <c r="Q1854" s="471"/>
    </row>
    <row r="1855" spans="3:17">
      <c r="C1855" s="505">
        <f>IF(D1821="","-",+C1854+1)</f>
        <v>2044</v>
      </c>
      <c r="D1855" s="469">
        <f t="shared" si="174"/>
        <v>292048.43916666589</v>
      </c>
      <c r="E1855" s="511">
        <f t="shared" si="175"/>
        <v>20141.271666666671</v>
      </c>
      <c r="F1855" s="511">
        <f t="shared" si="168"/>
        <v>271907.16749999922</v>
      </c>
      <c r="G1855" s="469">
        <f t="shared" si="169"/>
        <v>281977.80333333253</v>
      </c>
      <c r="H1855" s="506">
        <f>+J1822*G1855+E1855</f>
        <v>62428.43025098207</v>
      </c>
      <c r="I1855" s="512">
        <f>+J1823*G1855+E1855</f>
        <v>62428.43025098207</v>
      </c>
      <c r="J1855" s="509">
        <f t="shared" si="170"/>
        <v>0</v>
      </c>
      <c r="K1855" s="509"/>
      <c r="L1855" s="513"/>
      <c r="M1855" s="509">
        <f t="shared" si="171"/>
        <v>0</v>
      </c>
      <c r="N1855" s="513"/>
      <c r="O1855" s="509">
        <f t="shared" si="172"/>
        <v>0</v>
      </c>
      <c r="P1855" s="509">
        <f t="shared" si="173"/>
        <v>0</v>
      </c>
      <c r="Q1855" s="471"/>
    </row>
    <row r="1856" spans="3:17">
      <c r="C1856" s="505">
        <f>IF(D1821="","-",+C1855+1)</f>
        <v>2045</v>
      </c>
      <c r="D1856" s="469">
        <f t="shared" si="174"/>
        <v>271907.16749999922</v>
      </c>
      <c r="E1856" s="511">
        <f t="shared" si="175"/>
        <v>20141.271666666671</v>
      </c>
      <c r="F1856" s="511">
        <f t="shared" si="168"/>
        <v>251765.89583333256</v>
      </c>
      <c r="G1856" s="469">
        <f t="shared" si="169"/>
        <v>261836.53166666589</v>
      </c>
      <c r="H1856" s="506">
        <f>+J1822*G1856+E1856</f>
        <v>59407.91892353096</v>
      </c>
      <c r="I1856" s="512">
        <f>+J1823*G1856+E1856</f>
        <v>59407.91892353096</v>
      </c>
      <c r="J1856" s="509">
        <f t="shared" si="170"/>
        <v>0</v>
      </c>
      <c r="K1856" s="509"/>
      <c r="L1856" s="513"/>
      <c r="M1856" s="509">
        <f t="shared" si="171"/>
        <v>0</v>
      </c>
      <c r="N1856" s="513"/>
      <c r="O1856" s="509">
        <f t="shared" si="172"/>
        <v>0</v>
      </c>
      <c r="P1856" s="509">
        <f t="shared" si="173"/>
        <v>0</v>
      </c>
      <c r="Q1856" s="471"/>
    </row>
    <row r="1857" spans="3:17">
      <c r="C1857" s="505">
        <f>IF(D1821="","-",+C1856+1)</f>
        <v>2046</v>
      </c>
      <c r="D1857" s="469">
        <f t="shared" si="174"/>
        <v>251765.89583333256</v>
      </c>
      <c r="E1857" s="511">
        <f t="shared" si="175"/>
        <v>20141.271666666671</v>
      </c>
      <c r="F1857" s="511">
        <f t="shared" si="168"/>
        <v>231624.62416666589</v>
      </c>
      <c r="G1857" s="469">
        <f t="shared" si="169"/>
        <v>241695.25999999922</v>
      </c>
      <c r="H1857" s="506">
        <f>+J1822*G1857+E1857</f>
        <v>56387.407596079851</v>
      </c>
      <c r="I1857" s="512">
        <f>+J1823*G1857+E1857</f>
        <v>56387.407596079851</v>
      </c>
      <c r="J1857" s="509">
        <f t="shared" si="170"/>
        <v>0</v>
      </c>
      <c r="K1857" s="509"/>
      <c r="L1857" s="513"/>
      <c r="M1857" s="509">
        <f t="shared" si="171"/>
        <v>0</v>
      </c>
      <c r="N1857" s="513"/>
      <c r="O1857" s="509">
        <f t="shared" si="172"/>
        <v>0</v>
      </c>
      <c r="P1857" s="509">
        <f t="shared" si="173"/>
        <v>0</v>
      </c>
      <c r="Q1857" s="471"/>
    </row>
    <row r="1858" spans="3:17">
      <c r="C1858" s="505">
        <f>IF(D1821="","-",+C1857+1)</f>
        <v>2047</v>
      </c>
      <c r="D1858" s="469">
        <f t="shared" si="174"/>
        <v>231624.62416666589</v>
      </c>
      <c r="E1858" s="511">
        <f t="shared" si="175"/>
        <v>20141.271666666671</v>
      </c>
      <c r="F1858" s="511">
        <f t="shared" si="168"/>
        <v>211483.35249999922</v>
      </c>
      <c r="G1858" s="469">
        <f t="shared" si="169"/>
        <v>221553.98833333256</v>
      </c>
      <c r="H1858" s="506">
        <f>+J1822*G1858+E1858</f>
        <v>53366.896268628756</v>
      </c>
      <c r="I1858" s="512">
        <f>+J1823*G1858+E1858</f>
        <v>53366.896268628756</v>
      </c>
      <c r="J1858" s="509">
        <f t="shared" si="170"/>
        <v>0</v>
      </c>
      <c r="K1858" s="509"/>
      <c r="L1858" s="513"/>
      <c r="M1858" s="509">
        <f t="shared" si="171"/>
        <v>0</v>
      </c>
      <c r="N1858" s="513"/>
      <c r="O1858" s="509">
        <f t="shared" si="172"/>
        <v>0</v>
      </c>
      <c r="P1858" s="509">
        <f t="shared" si="173"/>
        <v>0</v>
      </c>
      <c r="Q1858" s="471"/>
    </row>
    <row r="1859" spans="3:17">
      <c r="C1859" s="505">
        <f>IF(D1821="","-",+C1858+1)</f>
        <v>2048</v>
      </c>
      <c r="D1859" s="469">
        <f t="shared" si="174"/>
        <v>211483.35249999922</v>
      </c>
      <c r="E1859" s="511">
        <f t="shared" si="175"/>
        <v>20141.271666666671</v>
      </c>
      <c r="F1859" s="511">
        <f t="shared" si="168"/>
        <v>191342.08083333255</v>
      </c>
      <c r="G1859" s="469">
        <f t="shared" ref="G1859:G1886" si="176">+(D1859+F1859)/2</f>
        <v>201412.71666666589</v>
      </c>
      <c r="H1859" s="506">
        <f>+J1822*G1859+E1859</f>
        <v>50346.384941177639</v>
      </c>
      <c r="I1859" s="512">
        <f>+J1823*G1859+E1859</f>
        <v>50346.384941177639</v>
      </c>
      <c r="J1859" s="509">
        <f t="shared" ref="J1859:J1886" si="177">+I1859-H1859</f>
        <v>0</v>
      </c>
      <c r="K1859" s="509"/>
      <c r="L1859" s="513"/>
      <c r="M1859" s="509">
        <f t="shared" ref="M1859:M1886" si="178">IF(L1859&lt;&gt;0,+H1859-L1859,0)</f>
        <v>0</v>
      </c>
      <c r="N1859" s="513"/>
      <c r="O1859" s="509">
        <f t="shared" ref="O1859:O1886" si="179">IF(N1859&lt;&gt;0,+I1859-N1859,0)</f>
        <v>0</v>
      </c>
      <c r="P1859" s="509">
        <f t="shared" si="173"/>
        <v>0</v>
      </c>
      <c r="Q1859" s="471"/>
    </row>
    <row r="1860" spans="3:17">
      <c r="C1860" s="505">
        <f>IF(D1821="","-",+C1859+1)</f>
        <v>2049</v>
      </c>
      <c r="D1860" s="469">
        <f t="shared" si="174"/>
        <v>191342.08083333255</v>
      </c>
      <c r="E1860" s="511">
        <f t="shared" si="175"/>
        <v>20141.271666666671</v>
      </c>
      <c r="F1860" s="511">
        <f t="shared" si="168"/>
        <v>171200.80916666589</v>
      </c>
      <c r="G1860" s="469">
        <f t="shared" si="176"/>
        <v>181271.44499999922</v>
      </c>
      <c r="H1860" s="506">
        <f>+J1822*G1860+E1860</f>
        <v>47325.873613726537</v>
      </c>
      <c r="I1860" s="512">
        <f>+J1823*G1860+E1860</f>
        <v>47325.873613726537</v>
      </c>
      <c r="J1860" s="509">
        <f t="shared" si="177"/>
        <v>0</v>
      </c>
      <c r="K1860" s="509"/>
      <c r="L1860" s="513"/>
      <c r="M1860" s="509">
        <f t="shared" si="178"/>
        <v>0</v>
      </c>
      <c r="N1860" s="513"/>
      <c r="O1860" s="509">
        <f t="shared" si="179"/>
        <v>0</v>
      </c>
      <c r="P1860" s="509">
        <f t="shared" si="173"/>
        <v>0</v>
      </c>
      <c r="Q1860" s="471"/>
    </row>
    <row r="1861" spans="3:17">
      <c r="C1861" s="505">
        <f>IF(D1821="","-",+C1860+1)</f>
        <v>2050</v>
      </c>
      <c r="D1861" s="469">
        <f t="shared" si="174"/>
        <v>171200.80916666589</v>
      </c>
      <c r="E1861" s="511">
        <f t="shared" si="175"/>
        <v>20141.271666666671</v>
      </c>
      <c r="F1861" s="511">
        <f t="shared" si="168"/>
        <v>151059.53749999922</v>
      </c>
      <c r="G1861" s="469">
        <f t="shared" si="176"/>
        <v>161130.17333333255</v>
      </c>
      <c r="H1861" s="506">
        <f>+J1822*G1861+E1861</f>
        <v>44305.362286275427</v>
      </c>
      <c r="I1861" s="512">
        <f>+J1823*G1861+E1861</f>
        <v>44305.362286275427</v>
      </c>
      <c r="J1861" s="509">
        <f t="shared" si="177"/>
        <v>0</v>
      </c>
      <c r="K1861" s="509"/>
      <c r="L1861" s="513"/>
      <c r="M1861" s="509">
        <f t="shared" si="178"/>
        <v>0</v>
      </c>
      <c r="N1861" s="513"/>
      <c r="O1861" s="509">
        <f t="shared" si="179"/>
        <v>0</v>
      </c>
      <c r="P1861" s="509">
        <f t="shared" si="173"/>
        <v>0</v>
      </c>
      <c r="Q1861" s="471"/>
    </row>
    <row r="1862" spans="3:17">
      <c r="C1862" s="505">
        <f>IF(D1821="","-",+C1861+1)</f>
        <v>2051</v>
      </c>
      <c r="D1862" s="469">
        <f t="shared" si="174"/>
        <v>151059.53749999922</v>
      </c>
      <c r="E1862" s="511">
        <f t="shared" si="175"/>
        <v>20141.271666666671</v>
      </c>
      <c r="F1862" s="511">
        <f t="shared" si="168"/>
        <v>130918.26583333255</v>
      </c>
      <c r="G1862" s="469">
        <f t="shared" si="176"/>
        <v>140988.90166666589</v>
      </c>
      <c r="H1862" s="506">
        <f>+J1822*G1862+E1862</f>
        <v>41284.850958824318</v>
      </c>
      <c r="I1862" s="512">
        <f>+J1823*G1862+E1862</f>
        <v>41284.850958824318</v>
      </c>
      <c r="J1862" s="509">
        <f t="shared" si="177"/>
        <v>0</v>
      </c>
      <c r="K1862" s="509"/>
      <c r="L1862" s="513"/>
      <c r="M1862" s="509">
        <f t="shared" si="178"/>
        <v>0</v>
      </c>
      <c r="N1862" s="513"/>
      <c r="O1862" s="509">
        <f t="shared" si="179"/>
        <v>0</v>
      </c>
      <c r="P1862" s="509">
        <f t="shared" si="173"/>
        <v>0</v>
      </c>
      <c r="Q1862" s="471"/>
    </row>
    <row r="1863" spans="3:17">
      <c r="C1863" s="505">
        <f>IF(D1821="","-",+C1862+1)</f>
        <v>2052</v>
      </c>
      <c r="D1863" s="469">
        <f t="shared" si="174"/>
        <v>130918.26583333255</v>
      </c>
      <c r="E1863" s="511">
        <f t="shared" si="175"/>
        <v>20141.271666666671</v>
      </c>
      <c r="F1863" s="511">
        <f t="shared" si="168"/>
        <v>110776.99416666589</v>
      </c>
      <c r="G1863" s="469">
        <f t="shared" si="176"/>
        <v>120847.62999999922</v>
      </c>
      <c r="H1863" s="506">
        <f>+J1822*G1863+E1863</f>
        <v>38264.339631373208</v>
      </c>
      <c r="I1863" s="512">
        <f>+J1823*G1863+E1863</f>
        <v>38264.339631373208</v>
      </c>
      <c r="J1863" s="509">
        <f t="shared" si="177"/>
        <v>0</v>
      </c>
      <c r="K1863" s="509"/>
      <c r="L1863" s="513"/>
      <c r="M1863" s="509">
        <f t="shared" si="178"/>
        <v>0</v>
      </c>
      <c r="N1863" s="513"/>
      <c r="O1863" s="509">
        <f t="shared" si="179"/>
        <v>0</v>
      </c>
      <c r="P1863" s="509">
        <f t="shared" si="173"/>
        <v>0</v>
      </c>
      <c r="Q1863" s="471"/>
    </row>
    <row r="1864" spans="3:17">
      <c r="C1864" s="505">
        <f>IF(D1821="","-",+C1863+1)</f>
        <v>2053</v>
      </c>
      <c r="D1864" s="469">
        <f t="shared" si="174"/>
        <v>110776.99416666589</v>
      </c>
      <c r="E1864" s="511">
        <f t="shared" si="175"/>
        <v>20141.271666666671</v>
      </c>
      <c r="F1864" s="511">
        <f t="shared" si="168"/>
        <v>90635.722499999218</v>
      </c>
      <c r="G1864" s="469">
        <f t="shared" si="176"/>
        <v>100706.35833333255</v>
      </c>
      <c r="H1864" s="506">
        <f>+J1822*G1864+E1864</f>
        <v>35243.828303922099</v>
      </c>
      <c r="I1864" s="512">
        <f>+J1823*G1864+E1864</f>
        <v>35243.828303922099</v>
      </c>
      <c r="J1864" s="509">
        <f t="shared" si="177"/>
        <v>0</v>
      </c>
      <c r="K1864" s="509"/>
      <c r="L1864" s="513"/>
      <c r="M1864" s="509">
        <f t="shared" si="178"/>
        <v>0</v>
      </c>
      <c r="N1864" s="513"/>
      <c r="O1864" s="509">
        <f t="shared" si="179"/>
        <v>0</v>
      </c>
      <c r="P1864" s="509">
        <f t="shared" si="173"/>
        <v>0</v>
      </c>
      <c r="Q1864" s="471"/>
    </row>
    <row r="1865" spans="3:17">
      <c r="C1865" s="505">
        <f>IF(D1821="","-",+C1864+1)</f>
        <v>2054</v>
      </c>
      <c r="D1865" s="469">
        <f t="shared" si="174"/>
        <v>90635.722499999218</v>
      </c>
      <c r="E1865" s="511">
        <f t="shared" si="175"/>
        <v>20141.271666666671</v>
      </c>
      <c r="F1865" s="511">
        <f t="shared" si="168"/>
        <v>70494.45083333255</v>
      </c>
      <c r="G1865" s="469">
        <f t="shared" si="176"/>
        <v>80565.086666665884</v>
      </c>
      <c r="H1865" s="506">
        <f>+J1822*G1865+E1865</f>
        <v>32223.316976470989</v>
      </c>
      <c r="I1865" s="512">
        <f>+J1823*G1865+E1865</f>
        <v>32223.316976470989</v>
      </c>
      <c r="J1865" s="509">
        <f t="shared" si="177"/>
        <v>0</v>
      </c>
      <c r="K1865" s="509"/>
      <c r="L1865" s="513"/>
      <c r="M1865" s="509">
        <f t="shared" si="178"/>
        <v>0</v>
      </c>
      <c r="N1865" s="513"/>
      <c r="O1865" s="509">
        <f t="shared" si="179"/>
        <v>0</v>
      </c>
      <c r="P1865" s="509">
        <f t="shared" si="173"/>
        <v>0</v>
      </c>
      <c r="Q1865" s="471"/>
    </row>
    <row r="1866" spans="3:17">
      <c r="C1866" s="505">
        <f>IF(D1821="","-",+C1865+1)</f>
        <v>2055</v>
      </c>
      <c r="D1866" s="469">
        <f t="shared" si="174"/>
        <v>70494.45083333255</v>
      </c>
      <c r="E1866" s="511">
        <f t="shared" si="175"/>
        <v>20141.271666666671</v>
      </c>
      <c r="F1866" s="511">
        <f t="shared" si="168"/>
        <v>50353.179166665883</v>
      </c>
      <c r="G1866" s="469">
        <f t="shared" si="176"/>
        <v>60423.814999999217</v>
      </c>
      <c r="H1866" s="506">
        <f>+J1822*G1866+E1866</f>
        <v>29202.80564901988</v>
      </c>
      <c r="I1866" s="512">
        <f>+J1823*G1866+E1866</f>
        <v>29202.80564901988</v>
      </c>
      <c r="J1866" s="509">
        <f t="shared" si="177"/>
        <v>0</v>
      </c>
      <c r="K1866" s="509"/>
      <c r="L1866" s="513"/>
      <c r="M1866" s="509">
        <f t="shared" si="178"/>
        <v>0</v>
      </c>
      <c r="N1866" s="513"/>
      <c r="O1866" s="509">
        <f t="shared" si="179"/>
        <v>0</v>
      </c>
      <c r="P1866" s="509">
        <f t="shared" si="173"/>
        <v>0</v>
      </c>
      <c r="Q1866" s="471"/>
    </row>
    <row r="1867" spans="3:17">
      <c r="C1867" s="505">
        <f>IF(D1821="","-",+C1866+1)</f>
        <v>2056</v>
      </c>
      <c r="D1867" s="469">
        <f t="shared" si="174"/>
        <v>50353.179166665883</v>
      </c>
      <c r="E1867" s="511">
        <f t="shared" si="175"/>
        <v>20141.271666666671</v>
      </c>
      <c r="F1867" s="511">
        <f t="shared" si="168"/>
        <v>30211.907499999212</v>
      </c>
      <c r="G1867" s="469">
        <f t="shared" si="176"/>
        <v>40282.543333332549</v>
      </c>
      <c r="H1867" s="506">
        <f>+J1822*G1867+E1867</f>
        <v>26182.29432156877</v>
      </c>
      <c r="I1867" s="512">
        <f>+J1823*G1867+E1867</f>
        <v>26182.29432156877</v>
      </c>
      <c r="J1867" s="509">
        <f t="shared" si="177"/>
        <v>0</v>
      </c>
      <c r="K1867" s="509"/>
      <c r="L1867" s="513"/>
      <c r="M1867" s="509">
        <f t="shared" si="178"/>
        <v>0</v>
      </c>
      <c r="N1867" s="513"/>
      <c r="O1867" s="509">
        <f t="shared" si="179"/>
        <v>0</v>
      </c>
      <c r="P1867" s="509">
        <f t="shared" si="173"/>
        <v>0</v>
      </c>
      <c r="Q1867" s="471"/>
    </row>
    <row r="1868" spans="3:17">
      <c r="C1868" s="505">
        <f>IF(D1821="","-",+C1867+1)</f>
        <v>2057</v>
      </c>
      <c r="D1868" s="469">
        <f t="shared" si="174"/>
        <v>30211.907499999212</v>
      </c>
      <c r="E1868" s="511">
        <f t="shared" si="175"/>
        <v>20141.271666666671</v>
      </c>
      <c r="F1868" s="511">
        <f t="shared" si="168"/>
        <v>10070.635833332541</v>
      </c>
      <c r="G1868" s="469">
        <f t="shared" si="176"/>
        <v>20141.271666665874</v>
      </c>
      <c r="H1868" s="506">
        <f>+J1822*G1868+E1868</f>
        <v>23161.782994117661</v>
      </c>
      <c r="I1868" s="512">
        <f>+J1823*G1868+E1868</f>
        <v>23161.782994117661</v>
      </c>
      <c r="J1868" s="509">
        <f t="shared" si="177"/>
        <v>0</v>
      </c>
      <c r="K1868" s="509"/>
      <c r="L1868" s="513"/>
      <c r="M1868" s="509">
        <f t="shared" si="178"/>
        <v>0</v>
      </c>
      <c r="N1868" s="513"/>
      <c r="O1868" s="509">
        <f t="shared" si="179"/>
        <v>0</v>
      </c>
      <c r="P1868" s="509">
        <f t="shared" si="173"/>
        <v>0</v>
      </c>
      <c r="Q1868" s="471"/>
    </row>
    <row r="1869" spans="3:17">
      <c r="C1869" s="505">
        <f>IF(D1821="","-",+C1868+1)</f>
        <v>2058</v>
      </c>
      <c r="D1869" s="469">
        <f t="shared" si="174"/>
        <v>10070.635833332541</v>
      </c>
      <c r="E1869" s="511">
        <f t="shared" si="175"/>
        <v>10070.635833332541</v>
      </c>
      <c r="F1869" s="511">
        <f t="shared" si="168"/>
        <v>0</v>
      </c>
      <c r="G1869" s="469">
        <f t="shared" si="176"/>
        <v>5035.3179166662703</v>
      </c>
      <c r="H1869" s="506">
        <f>+J1822*G1869+E1869</f>
        <v>10825.763665195258</v>
      </c>
      <c r="I1869" s="512">
        <f>+J1823*G1869+E1869</f>
        <v>10825.763665195258</v>
      </c>
      <c r="J1869" s="509">
        <f t="shared" si="177"/>
        <v>0</v>
      </c>
      <c r="K1869" s="509"/>
      <c r="L1869" s="513"/>
      <c r="M1869" s="509">
        <f t="shared" si="178"/>
        <v>0</v>
      </c>
      <c r="N1869" s="513"/>
      <c r="O1869" s="509">
        <f t="shared" si="179"/>
        <v>0</v>
      </c>
      <c r="P1869" s="509">
        <f t="shared" si="173"/>
        <v>0</v>
      </c>
      <c r="Q1869" s="471"/>
    </row>
    <row r="1870" spans="3:17">
      <c r="C1870" s="505">
        <f>IF(D1821="","-",+C1869+1)</f>
        <v>2059</v>
      </c>
      <c r="D1870" s="469">
        <f t="shared" si="174"/>
        <v>0</v>
      </c>
      <c r="E1870" s="511">
        <f t="shared" si="175"/>
        <v>0</v>
      </c>
      <c r="F1870" s="511">
        <f t="shared" si="168"/>
        <v>0</v>
      </c>
      <c r="G1870" s="469">
        <f t="shared" si="176"/>
        <v>0</v>
      </c>
      <c r="H1870" s="506">
        <f>+J1822*G1870+E1870</f>
        <v>0</v>
      </c>
      <c r="I1870" s="512">
        <f>+J1823*G1870+E1870</f>
        <v>0</v>
      </c>
      <c r="J1870" s="509">
        <f t="shared" si="177"/>
        <v>0</v>
      </c>
      <c r="K1870" s="509"/>
      <c r="L1870" s="513"/>
      <c r="M1870" s="509">
        <f t="shared" si="178"/>
        <v>0</v>
      </c>
      <c r="N1870" s="513"/>
      <c r="O1870" s="509">
        <f t="shared" si="179"/>
        <v>0</v>
      </c>
      <c r="P1870" s="509">
        <f t="shared" si="173"/>
        <v>0</v>
      </c>
      <c r="Q1870" s="471"/>
    </row>
    <row r="1871" spans="3:17">
      <c r="C1871" s="505">
        <f>IF(D1821="","-",+C1870+1)</f>
        <v>2060</v>
      </c>
      <c r="D1871" s="469">
        <f t="shared" si="174"/>
        <v>0</v>
      </c>
      <c r="E1871" s="511">
        <f t="shared" si="175"/>
        <v>0</v>
      </c>
      <c r="F1871" s="511">
        <f t="shared" si="168"/>
        <v>0</v>
      </c>
      <c r="G1871" s="469">
        <f t="shared" si="176"/>
        <v>0</v>
      </c>
      <c r="H1871" s="506">
        <f>+J1822*G1871+E1871</f>
        <v>0</v>
      </c>
      <c r="I1871" s="512">
        <f>+J1823*G1871+E1871</f>
        <v>0</v>
      </c>
      <c r="J1871" s="509">
        <f t="shared" si="177"/>
        <v>0</v>
      </c>
      <c r="K1871" s="509"/>
      <c r="L1871" s="513"/>
      <c r="M1871" s="509">
        <f t="shared" si="178"/>
        <v>0</v>
      </c>
      <c r="N1871" s="513"/>
      <c r="O1871" s="509">
        <f t="shared" si="179"/>
        <v>0</v>
      </c>
      <c r="P1871" s="509">
        <f t="shared" si="173"/>
        <v>0</v>
      </c>
      <c r="Q1871" s="471"/>
    </row>
    <row r="1872" spans="3:17">
      <c r="C1872" s="505">
        <f>IF(D1821="","-",+C1871+1)</f>
        <v>2061</v>
      </c>
      <c r="D1872" s="469">
        <f t="shared" si="174"/>
        <v>0</v>
      </c>
      <c r="E1872" s="511">
        <f t="shared" si="175"/>
        <v>0</v>
      </c>
      <c r="F1872" s="511">
        <f t="shared" si="168"/>
        <v>0</v>
      </c>
      <c r="G1872" s="469">
        <f t="shared" si="176"/>
        <v>0</v>
      </c>
      <c r="H1872" s="506">
        <f>+J1822*G1872+E1872</f>
        <v>0</v>
      </c>
      <c r="I1872" s="512">
        <f>+J1823*G1872+E1872</f>
        <v>0</v>
      </c>
      <c r="J1872" s="509">
        <f t="shared" si="177"/>
        <v>0</v>
      </c>
      <c r="K1872" s="509"/>
      <c r="L1872" s="513"/>
      <c r="M1872" s="509">
        <f t="shared" si="178"/>
        <v>0</v>
      </c>
      <c r="N1872" s="513"/>
      <c r="O1872" s="509">
        <f t="shared" si="179"/>
        <v>0</v>
      </c>
      <c r="P1872" s="509">
        <f t="shared" si="173"/>
        <v>0</v>
      </c>
      <c r="Q1872" s="471"/>
    </row>
    <row r="1873" spans="3:17">
      <c r="C1873" s="505">
        <f>IF(D1821="","-",+C1872+1)</f>
        <v>2062</v>
      </c>
      <c r="D1873" s="469">
        <f t="shared" si="174"/>
        <v>0</v>
      </c>
      <c r="E1873" s="511">
        <f t="shared" si="175"/>
        <v>0</v>
      </c>
      <c r="F1873" s="511">
        <f t="shared" si="168"/>
        <v>0</v>
      </c>
      <c r="G1873" s="469">
        <f t="shared" si="176"/>
        <v>0</v>
      </c>
      <c r="H1873" s="506">
        <f>+J1822*G1873+E1873</f>
        <v>0</v>
      </c>
      <c r="I1873" s="512">
        <f>+J1823*G1873+E1873</f>
        <v>0</v>
      </c>
      <c r="J1873" s="509">
        <f t="shared" si="177"/>
        <v>0</v>
      </c>
      <c r="K1873" s="509"/>
      <c r="L1873" s="513"/>
      <c r="M1873" s="509">
        <f t="shared" si="178"/>
        <v>0</v>
      </c>
      <c r="N1873" s="513"/>
      <c r="O1873" s="509">
        <f t="shared" si="179"/>
        <v>0</v>
      </c>
      <c r="P1873" s="509">
        <f t="shared" si="173"/>
        <v>0</v>
      </c>
      <c r="Q1873" s="471"/>
    </row>
    <row r="1874" spans="3:17">
      <c r="C1874" s="505">
        <f>IF(D1821="","-",+C1873+1)</f>
        <v>2063</v>
      </c>
      <c r="D1874" s="469">
        <f t="shared" si="174"/>
        <v>0</v>
      </c>
      <c r="E1874" s="511">
        <f t="shared" si="175"/>
        <v>0</v>
      </c>
      <c r="F1874" s="511">
        <f t="shared" si="168"/>
        <v>0</v>
      </c>
      <c r="G1874" s="469">
        <f t="shared" si="176"/>
        <v>0</v>
      </c>
      <c r="H1874" s="506">
        <f>+J1822*G1874+E1874</f>
        <v>0</v>
      </c>
      <c r="I1874" s="512">
        <f>+J1823*G1874+E1874</f>
        <v>0</v>
      </c>
      <c r="J1874" s="509">
        <f t="shared" si="177"/>
        <v>0</v>
      </c>
      <c r="K1874" s="509"/>
      <c r="L1874" s="513"/>
      <c r="M1874" s="509">
        <f t="shared" si="178"/>
        <v>0</v>
      </c>
      <c r="N1874" s="513"/>
      <c r="O1874" s="509">
        <f t="shared" si="179"/>
        <v>0</v>
      </c>
      <c r="P1874" s="509">
        <f t="shared" si="173"/>
        <v>0</v>
      </c>
      <c r="Q1874" s="471"/>
    </row>
    <row r="1875" spans="3:17">
      <c r="C1875" s="505">
        <f>IF(D1821="","-",+C1874+1)</f>
        <v>2064</v>
      </c>
      <c r="D1875" s="469">
        <f t="shared" si="174"/>
        <v>0</v>
      </c>
      <c r="E1875" s="511">
        <f t="shared" si="175"/>
        <v>0</v>
      </c>
      <c r="F1875" s="511">
        <f t="shared" si="168"/>
        <v>0</v>
      </c>
      <c r="G1875" s="469">
        <f t="shared" si="176"/>
        <v>0</v>
      </c>
      <c r="H1875" s="506">
        <f>+J1822*G1875+E1875</f>
        <v>0</v>
      </c>
      <c r="I1875" s="512">
        <f>+J1823*G1875+E1875</f>
        <v>0</v>
      </c>
      <c r="J1875" s="509">
        <f t="shared" si="177"/>
        <v>0</v>
      </c>
      <c r="K1875" s="509"/>
      <c r="L1875" s="513"/>
      <c r="M1875" s="509">
        <f t="shared" si="178"/>
        <v>0</v>
      </c>
      <c r="N1875" s="513"/>
      <c r="O1875" s="509">
        <f t="shared" si="179"/>
        <v>0</v>
      </c>
      <c r="P1875" s="509">
        <f t="shared" si="173"/>
        <v>0</v>
      </c>
      <c r="Q1875" s="471"/>
    </row>
    <row r="1876" spans="3:17">
      <c r="C1876" s="505">
        <f>IF(D1821="","-",+C1875+1)</f>
        <v>2065</v>
      </c>
      <c r="D1876" s="469">
        <f t="shared" si="174"/>
        <v>0</v>
      </c>
      <c r="E1876" s="511">
        <f t="shared" si="175"/>
        <v>0</v>
      </c>
      <c r="F1876" s="511">
        <f t="shared" si="168"/>
        <v>0</v>
      </c>
      <c r="G1876" s="469">
        <f t="shared" si="176"/>
        <v>0</v>
      </c>
      <c r="H1876" s="506">
        <f>+J1822*G1876+E1876</f>
        <v>0</v>
      </c>
      <c r="I1876" s="512">
        <f>+J1823*G1876+E1876</f>
        <v>0</v>
      </c>
      <c r="J1876" s="509">
        <f t="shared" si="177"/>
        <v>0</v>
      </c>
      <c r="K1876" s="509"/>
      <c r="L1876" s="513"/>
      <c r="M1876" s="509">
        <f t="shared" si="178"/>
        <v>0</v>
      </c>
      <c r="N1876" s="513"/>
      <c r="O1876" s="509">
        <f t="shared" si="179"/>
        <v>0</v>
      </c>
      <c r="P1876" s="509">
        <f t="shared" si="173"/>
        <v>0</v>
      </c>
      <c r="Q1876" s="471"/>
    </row>
    <row r="1877" spans="3:17">
      <c r="C1877" s="505">
        <f>IF(D1821="","-",+C1876+1)</f>
        <v>2066</v>
      </c>
      <c r="D1877" s="469">
        <f t="shared" si="174"/>
        <v>0</v>
      </c>
      <c r="E1877" s="511">
        <f t="shared" si="175"/>
        <v>0</v>
      </c>
      <c r="F1877" s="511">
        <f t="shared" si="168"/>
        <v>0</v>
      </c>
      <c r="G1877" s="469">
        <f t="shared" si="176"/>
        <v>0</v>
      </c>
      <c r="H1877" s="506">
        <f>+J1822*G1877+E1877</f>
        <v>0</v>
      </c>
      <c r="I1877" s="512">
        <f>+J1823*G1877+E1877</f>
        <v>0</v>
      </c>
      <c r="J1877" s="509">
        <f t="shared" si="177"/>
        <v>0</v>
      </c>
      <c r="K1877" s="509"/>
      <c r="L1877" s="513"/>
      <c r="M1877" s="509">
        <f t="shared" si="178"/>
        <v>0</v>
      </c>
      <c r="N1877" s="513"/>
      <c r="O1877" s="509">
        <f t="shared" si="179"/>
        <v>0</v>
      </c>
      <c r="P1877" s="509">
        <f t="shared" si="173"/>
        <v>0</v>
      </c>
      <c r="Q1877" s="471"/>
    </row>
    <row r="1878" spans="3:17">
      <c r="C1878" s="505">
        <f>IF(D1821="","-",+C1877+1)</f>
        <v>2067</v>
      </c>
      <c r="D1878" s="469">
        <f t="shared" si="174"/>
        <v>0</v>
      </c>
      <c r="E1878" s="511">
        <f t="shared" si="175"/>
        <v>0</v>
      </c>
      <c r="F1878" s="511">
        <f t="shared" si="168"/>
        <v>0</v>
      </c>
      <c r="G1878" s="469">
        <f t="shared" si="176"/>
        <v>0</v>
      </c>
      <c r="H1878" s="506">
        <f>+J1822*G1878+E1878</f>
        <v>0</v>
      </c>
      <c r="I1878" s="512">
        <f>+J1823*G1878+E1878</f>
        <v>0</v>
      </c>
      <c r="J1878" s="509">
        <f t="shared" si="177"/>
        <v>0</v>
      </c>
      <c r="K1878" s="509"/>
      <c r="L1878" s="513"/>
      <c r="M1878" s="509">
        <f t="shared" si="178"/>
        <v>0</v>
      </c>
      <c r="N1878" s="513"/>
      <c r="O1878" s="509">
        <f t="shared" si="179"/>
        <v>0</v>
      </c>
      <c r="P1878" s="509">
        <f t="shared" si="173"/>
        <v>0</v>
      </c>
      <c r="Q1878" s="471"/>
    </row>
    <row r="1879" spans="3:17">
      <c r="C1879" s="505">
        <f>IF(D1821="","-",+C1878+1)</f>
        <v>2068</v>
      </c>
      <c r="D1879" s="469">
        <f t="shared" si="174"/>
        <v>0</v>
      </c>
      <c r="E1879" s="511">
        <f t="shared" si="175"/>
        <v>0</v>
      </c>
      <c r="F1879" s="511">
        <f t="shared" si="168"/>
        <v>0</v>
      </c>
      <c r="G1879" s="469">
        <f t="shared" si="176"/>
        <v>0</v>
      </c>
      <c r="H1879" s="506">
        <f>+J1822*G1879+E1879</f>
        <v>0</v>
      </c>
      <c r="I1879" s="512">
        <f>+J1823*G1879+E1879</f>
        <v>0</v>
      </c>
      <c r="J1879" s="509">
        <f t="shared" si="177"/>
        <v>0</v>
      </c>
      <c r="K1879" s="509"/>
      <c r="L1879" s="513"/>
      <c r="M1879" s="509">
        <f t="shared" si="178"/>
        <v>0</v>
      </c>
      <c r="N1879" s="513"/>
      <c r="O1879" s="509">
        <f t="shared" si="179"/>
        <v>0</v>
      </c>
      <c r="P1879" s="509">
        <f t="shared" si="173"/>
        <v>0</v>
      </c>
      <c r="Q1879" s="471"/>
    </row>
    <row r="1880" spans="3:17">
      <c r="C1880" s="505">
        <f>IF(D1821="","-",+C1879+1)</f>
        <v>2069</v>
      </c>
      <c r="D1880" s="469">
        <f t="shared" si="174"/>
        <v>0</v>
      </c>
      <c r="E1880" s="511">
        <f t="shared" si="175"/>
        <v>0</v>
      </c>
      <c r="F1880" s="511">
        <f t="shared" si="168"/>
        <v>0</v>
      </c>
      <c r="G1880" s="469">
        <f t="shared" si="176"/>
        <v>0</v>
      </c>
      <c r="H1880" s="506">
        <f>+J1822*G1880+E1880</f>
        <v>0</v>
      </c>
      <c r="I1880" s="512">
        <f>+J1823*G1880+E1880</f>
        <v>0</v>
      </c>
      <c r="J1880" s="509">
        <f t="shared" si="177"/>
        <v>0</v>
      </c>
      <c r="K1880" s="509"/>
      <c r="L1880" s="513"/>
      <c r="M1880" s="509">
        <f t="shared" si="178"/>
        <v>0</v>
      </c>
      <c r="N1880" s="513"/>
      <c r="O1880" s="509">
        <f t="shared" si="179"/>
        <v>0</v>
      </c>
      <c r="P1880" s="509">
        <f t="shared" si="173"/>
        <v>0</v>
      </c>
      <c r="Q1880" s="471"/>
    </row>
    <row r="1881" spans="3:17">
      <c r="C1881" s="505">
        <f>IF(D1821="","-",+C1880+1)</f>
        <v>2070</v>
      </c>
      <c r="D1881" s="469">
        <f t="shared" si="174"/>
        <v>0</v>
      </c>
      <c r="E1881" s="511">
        <f t="shared" si="175"/>
        <v>0</v>
      </c>
      <c r="F1881" s="511">
        <f t="shared" si="168"/>
        <v>0</v>
      </c>
      <c r="G1881" s="469">
        <f t="shared" si="176"/>
        <v>0</v>
      </c>
      <c r="H1881" s="506">
        <f>+J1822*G1881+E1881</f>
        <v>0</v>
      </c>
      <c r="I1881" s="512">
        <f>+J1823*G1881+E1881</f>
        <v>0</v>
      </c>
      <c r="J1881" s="509">
        <f t="shared" si="177"/>
        <v>0</v>
      </c>
      <c r="K1881" s="509"/>
      <c r="L1881" s="513"/>
      <c r="M1881" s="509">
        <f t="shared" si="178"/>
        <v>0</v>
      </c>
      <c r="N1881" s="513"/>
      <c r="O1881" s="509">
        <f t="shared" si="179"/>
        <v>0</v>
      </c>
      <c r="P1881" s="509">
        <f t="shared" si="173"/>
        <v>0</v>
      </c>
      <c r="Q1881" s="471"/>
    </row>
    <row r="1882" spans="3:17">
      <c r="C1882" s="505">
        <f>IF(D1821="","-",+C1881+1)</f>
        <v>2071</v>
      </c>
      <c r="D1882" s="469">
        <f t="shared" si="174"/>
        <v>0</v>
      </c>
      <c r="E1882" s="511">
        <f t="shared" si="175"/>
        <v>0</v>
      </c>
      <c r="F1882" s="511">
        <f t="shared" si="168"/>
        <v>0</v>
      </c>
      <c r="G1882" s="469">
        <f t="shared" si="176"/>
        <v>0</v>
      </c>
      <c r="H1882" s="506">
        <f>+J1822*G1882+E1882</f>
        <v>0</v>
      </c>
      <c r="I1882" s="512">
        <f>+J1823*G1882+E1882</f>
        <v>0</v>
      </c>
      <c r="J1882" s="509">
        <f t="shared" si="177"/>
        <v>0</v>
      </c>
      <c r="K1882" s="509"/>
      <c r="L1882" s="513"/>
      <c r="M1882" s="509">
        <f t="shared" si="178"/>
        <v>0</v>
      </c>
      <c r="N1882" s="513"/>
      <c r="O1882" s="509">
        <f t="shared" si="179"/>
        <v>0</v>
      </c>
      <c r="P1882" s="509">
        <f t="shared" si="173"/>
        <v>0</v>
      </c>
      <c r="Q1882" s="471"/>
    </row>
    <row r="1883" spans="3:17">
      <c r="C1883" s="505">
        <f>IF(D1821="","-",+C1882+1)</f>
        <v>2072</v>
      </c>
      <c r="D1883" s="469">
        <f t="shared" si="174"/>
        <v>0</v>
      </c>
      <c r="E1883" s="511">
        <f t="shared" si="175"/>
        <v>0</v>
      </c>
      <c r="F1883" s="511">
        <f t="shared" si="168"/>
        <v>0</v>
      </c>
      <c r="G1883" s="469">
        <f t="shared" si="176"/>
        <v>0</v>
      </c>
      <c r="H1883" s="506">
        <f>+J1822*G1883+E1883</f>
        <v>0</v>
      </c>
      <c r="I1883" s="512">
        <f>+J1823*G1883+E1883</f>
        <v>0</v>
      </c>
      <c r="J1883" s="509">
        <f t="shared" si="177"/>
        <v>0</v>
      </c>
      <c r="K1883" s="509"/>
      <c r="L1883" s="513"/>
      <c r="M1883" s="509">
        <f t="shared" si="178"/>
        <v>0</v>
      </c>
      <c r="N1883" s="513"/>
      <c r="O1883" s="509">
        <f t="shared" si="179"/>
        <v>0</v>
      </c>
      <c r="P1883" s="509">
        <f t="shared" si="173"/>
        <v>0</v>
      </c>
      <c r="Q1883" s="471"/>
    </row>
    <row r="1884" spans="3:17">
      <c r="C1884" s="505">
        <f>IF(D1821="","-",+C1883+1)</f>
        <v>2073</v>
      </c>
      <c r="D1884" s="469">
        <f t="shared" si="174"/>
        <v>0</v>
      </c>
      <c r="E1884" s="511">
        <f t="shared" si="175"/>
        <v>0</v>
      </c>
      <c r="F1884" s="511">
        <f t="shared" si="168"/>
        <v>0</v>
      </c>
      <c r="G1884" s="469">
        <f t="shared" si="176"/>
        <v>0</v>
      </c>
      <c r="H1884" s="506">
        <f>+J1822*G1884+E1884</f>
        <v>0</v>
      </c>
      <c r="I1884" s="512">
        <f>+J1823*G1884+E1884</f>
        <v>0</v>
      </c>
      <c r="J1884" s="509">
        <f t="shared" si="177"/>
        <v>0</v>
      </c>
      <c r="K1884" s="509"/>
      <c r="L1884" s="513"/>
      <c r="M1884" s="509">
        <f t="shared" si="178"/>
        <v>0</v>
      </c>
      <c r="N1884" s="513"/>
      <c r="O1884" s="509">
        <f t="shared" si="179"/>
        <v>0</v>
      </c>
      <c r="P1884" s="509">
        <f t="shared" si="173"/>
        <v>0</v>
      </c>
      <c r="Q1884" s="471"/>
    </row>
    <row r="1885" spans="3:17">
      <c r="C1885" s="505">
        <f>IF(D1821="","-",+C1884+1)</f>
        <v>2074</v>
      </c>
      <c r="D1885" s="469">
        <f t="shared" si="174"/>
        <v>0</v>
      </c>
      <c r="E1885" s="511">
        <f t="shared" si="175"/>
        <v>0</v>
      </c>
      <c r="F1885" s="511">
        <f t="shared" si="168"/>
        <v>0</v>
      </c>
      <c r="G1885" s="469">
        <f t="shared" si="176"/>
        <v>0</v>
      </c>
      <c r="H1885" s="506">
        <f>+J1822*G1885+E1885</f>
        <v>0</v>
      </c>
      <c r="I1885" s="512">
        <f>+J1823*G1885+E1885</f>
        <v>0</v>
      </c>
      <c r="J1885" s="509">
        <f t="shared" si="177"/>
        <v>0</v>
      </c>
      <c r="K1885" s="509"/>
      <c r="L1885" s="513"/>
      <c r="M1885" s="509">
        <f t="shared" si="178"/>
        <v>0</v>
      </c>
      <c r="N1885" s="513"/>
      <c r="O1885" s="509">
        <f t="shared" si="179"/>
        <v>0</v>
      </c>
      <c r="P1885" s="509">
        <f t="shared" si="173"/>
        <v>0</v>
      </c>
      <c r="Q1885" s="471"/>
    </row>
    <row r="1886" spans="3:17" ht="13.5" thickBot="1">
      <c r="C1886" s="515">
        <f>IF(D1821="","-",+C1885+1)</f>
        <v>2075</v>
      </c>
      <c r="D1886" s="516">
        <f t="shared" si="174"/>
        <v>0</v>
      </c>
      <c r="E1886" s="511">
        <f t="shared" si="175"/>
        <v>0</v>
      </c>
      <c r="F1886" s="517">
        <f t="shared" si="168"/>
        <v>0</v>
      </c>
      <c r="G1886" s="516">
        <f t="shared" si="176"/>
        <v>0</v>
      </c>
      <c r="H1886" s="518">
        <f>+J1822*G1886+E1886</f>
        <v>0</v>
      </c>
      <c r="I1886" s="518">
        <f>+J1823*G1886+E1886</f>
        <v>0</v>
      </c>
      <c r="J1886" s="519">
        <f t="shared" si="177"/>
        <v>0</v>
      </c>
      <c r="K1886" s="509"/>
      <c r="L1886" s="520"/>
      <c r="M1886" s="519">
        <f t="shared" si="178"/>
        <v>0</v>
      </c>
      <c r="N1886" s="520"/>
      <c r="O1886" s="519">
        <f t="shared" si="179"/>
        <v>0</v>
      </c>
      <c r="P1886" s="519">
        <f t="shared" si="173"/>
        <v>0</v>
      </c>
      <c r="Q1886" s="471"/>
    </row>
    <row r="1887" spans="3:17">
      <c r="C1887" s="469" t="s">
        <v>288</v>
      </c>
      <c r="D1887" s="467"/>
      <c r="E1887" s="467">
        <f>SUM(E1827:E1886)</f>
        <v>845933.41000000015</v>
      </c>
      <c r="F1887" s="467"/>
      <c r="G1887" s="467"/>
      <c r="H1887" s="467">
        <f>SUM(H1827:H1886)</f>
        <v>3573455.1386883459</v>
      </c>
      <c r="I1887" s="467">
        <f>SUM(I1827:I1886)</f>
        <v>3573455.1386883459</v>
      </c>
      <c r="J1887" s="467">
        <f>SUM(J1827:J1886)</f>
        <v>0</v>
      </c>
      <c r="K1887" s="467"/>
      <c r="L1887" s="467"/>
      <c r="M1887" s="467"/>
      <c r="N1887" s="467"/>
      <c r="O1887" s="467"/>
      <c r="Q1887" s="467"/>
    </row>
    <row r="1888" spans="3:17">
      <c r="D1888" s="79"/>
      <c r="E1888" s="4"/>
      <c r="F1888" s="4"/>
      <c r="G1888" s="4"/>
      <c r="H1888" s="4"/>
      <c r="I1888" s="452"/>
      <c r="J1888" s="452"/>
      <c r="K1888" s="467"/>
      <c r="L1888" s="452"/>
      <c r="M1888" s="452"/>
      <c r="N1888" s="452"/>
      <c r="O1888" s="452"/>
      <c r="Q1888" s="467"/>
    </row>
    <row r="1889" spans="1:17">
      <c r="C1889" s="4" t="s">
        <v>595</v>
      </c>
      <c r="D1889" s="79"/>
      <c r="E1889" s="4"/>
      <c r="F1889" s="4"/>
      <c r="G1889" s="4"/>
      <c r="H1889" s="4"/>
      <c r="I1889" s="452"/>
      <c r="J1889" s="452"/>
      <c r="K1889" s="467"/>
      <c r="L1889" s="452"/>
      <c r="M1889" s="452"/>
      <c r="N1889" s="452"/>
      <c r="O1889" s="452"/>
      <c r="Q1889" s="467"/>
    </row>
    <row r="1890" spans="1:17">
      <c r="D1890" s="79"/>
      <c r="E1890" s="4"/>
      <c r="F1890" s="4"/>
      <c r="G1890" s="4"/>
      <c r="H1890" s="4"/>
      <c r="I1890" s="452"/>
      <c r="J1890" s="452"/>
      <c r="K1890" s="467"/>
      <c r="L1890" s="452"/>
      <c r="M1890" s="452"/>
      <c r="N1890" s="452"/>
      <c r="O1890" s="452"/>
      <c r="Q1890" s="467"/>
    </row>
    <row r="1891" spans="1:17">
      <c r="C1891" s="4" t="s">
        <v>596</v>
      </c>
      <c r="D1891" s="469"/>
      <c r="E1891" s="469"/>
      <c r="F1891" s="469"/>
      <c r="G1891" s="469"/>
      <c r="H1891" s="467"/>
      <c r="I1891" s="467"/>
      <c r="J1891" s="471"/>
      <c r="K1891" s="471"/>
      <c r="L1891" s="471"/>
      <c r="M1891" s="471"/>
      <c r="N1891" s="471"/>
      <c r="O1891" s="471"/>
      <c r="Q1891" s="471"/>
    </row>
    <row r="1892" spans="1:17">
      <c r="C1892" s="4" t="s">
        <v>476</v>
      </c>
      <c r="D1892" s="469"/>
      <c r="E1892" s="469"/>
      <c r="F1892" s="469"/>
      <c r="G1892" s="469"/>
      <c r="H1892" s="467"/>
      <c r="I1892" s="467"/>
      <c r="J1892" s="471"/>
      <c r="K1892" s="471"/>
      <c r="L1892" s="471"/>
      <c r="M1892" s="471"/>
      <c r="N1892" s="471"/>
      <c r="O1892" s="471"/>
      <c r="Q1892" s="471"/>
    </row>
    <row r="1893" spans="1:17">
      <c r="C1893" s="4" t="s">
        <v>289</v>
      </c>
      <c r="D1893" s="469"/>
      <c r="E1893" s="469"/>
      <c r="F1893" s="469"/>
      <c r="G1893" s="469"/>
      <c r="H1893" s="467"/>
      <c r="I1893" s="467"/>
      <c r="J1893" s="471"/>
      <c r="K1893" s="471"/>
      <c r="L1893" s="471"/>
      <c r="M1893" s="471"/>
      <c r="N1893" s="471"/>
      <c r="O1893" s="471"/>
      <c r="Q1893" s="471"/>
    </row>
    <row r="1894" spans="1:17" ht="20.25">
      <c r="A1894" s="411" t="s">
        <v>762</v>
      </c>
      <c r="B1894" s="4"/>
      <c r="C1894" s="4"/>
      <c r="D1894" s="79"/>
      <c r="E1894" s="4"/>
      <c r="F1894" s="81"/>
      <c r="G1894" s="81"/>
      <c r="H1894" s="4"/>
      <c r="I1894" s="452"/>
      <c r="L1894" s="11"/>
      <c r="M1894" s="11"/>
      <c r="N1894" s="11"/>
      <c r="O1894" s="11" t="str">
        <f>"Page "&amp;SUM(Q$3:Q1894)&amp;" of "</f>
        <v xml:space="preserve">Page 23 of </v>
      </c>
      <c r="P1894" s="412">
        <f>COUNT(Q$8:Q$58212)</f>
        <v>23</v>
      </c>
      <c r="Q1894" s="539">
        <v>1</v>
      </c>
    </row>
    <row r="1895" spans="1:17">
      <c r="B1895" s="4"/>
      <c r="C1895" s="4"/>
      <c r="D1895" s="79"/>
      <c r="E1895" s="4"/>
      <c r="F1895" s="4"/>
      <c r="G1895" s="4"/>
      <c r="H1895" s="4"/>
      <c r="I1895" s="452"/>
      <c r="J1895" s="4"/>
      <c r="K1895" s="4"/>
    </row>
    <row r="1896" spans="1:17" ht="18">
      <c r="B1896" s="413" t="s">
        <v>174</v>
      </c>
      <c r="C1896" s="472" t="s">
        <v>290</v>
      </c>
      <c r="D1896" s="79"/>
      <c r="E1896" s="4"/>
      <c r="F1896" s="4"/>
      <c r="G1896" s="4"/>
      <c r="H1896" s="4"/>
      <c r="I1896" s="452"/>
      <c r="J1896" s="452"/>
      <c r="K1896" s="467"/>
      <c r="L1896" s="452"/>
      <c r="M1896" s="452"/>
      <c r="N1896" s="452"/>
      <c r="O1896" s="452"/>
      <c r="Q1896" s="467"/>
    </row>
    <row r="1897" spans="1:17" ht="18.75">
      <c r="B1897" s="413"/>
      <c r="C1897" s="13"/>
      <c r="D1897" s="79"/>
      <c r="E1897" s="4"/>
      <c r="F1897" s="4"/>
      <c r="G1897" s="4"/>
      <c r="H1897" s="4"/>
      <c r="I1897" s="452"/>
      <c r="J1897" s="452"/>
      <c r="K1897" s="467"/>
      <c r="L1897" s="452"/>
      <c r="M1897" s="452"/>
      <c r="N1897" s="452"/>
      <c r="O1897" s="452"/>
      <c r="Q1897" s="467"/>
    </row>
    <row r="1898" spans="1:17" ht="18.75">
      <c r="B1898" s="413"/>
      <c r="C1898" s="13" t="s">
        <v>291</v>
      </c>
      <c r="D1898" s="79"/>
      <c r="E1898" s="4"/>
      <c r="F1898" s="4"/>
      <c r="G1898" s="4"/>
      <c r="H1898" s="4"/>
      <c r="I1898" s="452"/>
      <c r="J1898" s="452"/>
      <c r="K1898" s="467"/>
      <c r="L1898" s="452"/>
      <c r="M1898" s="452"/>
      <c r="N1898" s="452"/>
      <c r="O1898" s="452"/>
      <c r="Q1898" s="467"/>
    </row>
    <row r="1899" spans="1:17" ht="15.75" thickBot="1">
      <c r="C1899" s="247"/>
      <c r="D1899" s="79"/>
      <c r="E1899" s="4"/>
      <c r="F1899" s="4"/>
      <c r="G1899" s="4"/>
      <c r="H1899" s="4"/>
      <c r="I1899" s="452"/>
      <c r="J1899" s="452"/>
      <c r="K1899" s="467"/>
      <c r="L1899" s="452"/>
      <c r="M1899" s="452"/>
      <c r="N1899" s="452"/>
      <c r="O1899" s="452"/>
      <c r="Q1899" s="467"/>
    </row>
    <row r="1900" spans="1:17" ht="15.75">
      <c r="C1900" s="414" t="s">
        <v>292</v>
      </c>
      <c r="D1900" s="79"/>
      <c r="E1900" s="4"/>
      <c r="F1900" s="4"/>
      <c r="G1900" s="4"/>
      <c r="H1900" s="635"/>
      <c r="I1900" s="4" t="s">
        <v>271</v>
      </c>
      <c r="J1900" s="4"/>
      <c r="K1900" s="4"/>
      <c r="L1900" s="540">
        <f>+J1906</f>
        <v>2025</v>
      </c>
      <c r="M1900" s="524" t="s">
        <v>254</v>
      </c>
      <c r="N1900" s="524" t="s">
        <v>255</v>
      </c>
      <c r="O1900" s="525" t="s">
        <v>256</v>
      </c>
    </row>
    <row r="1901" spans="1:17" ht="15.75">
      <c r="C1901" s="414"/>
      <c r="D1901" s="79"/>
      <c r="E1901" s="4"/>
      <c r="F1901" s="4"/>
      <c r="H1901" s="4"/>
      <c r="I1901" s="476"/>
      <c r="J1901" s="476"/>
      <c r="K1901" s="477"/>
      <c r="L1901" s="541" t="s">
        <v>455</v>
      </c>
      <c r="M1901" s="542">
        <f>VLOOKUP(J1906,C1913:P1972,10)</f>
        <v>1133.844207790585</v>
      </c>
      <c r="N1901" s="542">
        <f>VLOOKUP(J1906,C1913:P1972,12)</f>
        <v>1133.844207790585</v>
      </c>
      <c r="O1901" s="543">
        <f>+N1901-M1901</f>
        <v>0</v>
      </c>
      <c r="Q1901" s="477"/>
    </row>
    <row r="1902" spans="1:17">
      <c r="C1902" s="479" t="s">
        <v>293</v>
      </c>
      <c r="D1902" s="962" t="s">
        <v>945</v>
      </c>
      <c r="E1902" s="962"/>
      <c r="F1902" s="962"/>
      <c r="G1902" s="962"/>
      <c r="H1902" s="962"/>
      <c r="I1902" s="483"/>
      <c r="J1902" s="452"/>
      <c r="K1902" s="467"/>
      <c r="L1902" s="541" t="s">
        <v>456</v>
      </c>
      <c r="M1902" s="544">
        <f>VLOOKUP(J1906,C1913:P1972,6)</f>
        <v>1164.6508811119263</v>
      </c>
      <c r="N1902" s="544">
        <f>VLOOKUP(J1906,C1913:P1972,7)</f>
        <v>1164.6508811119263</v>
      </c>
      <c r="O1902" s="545">
        <f>+N1902-M1902</f>
        <v>0</v>
      </c>
      <c r="Q1902" s="467"/>
    </row>
    <row r="1903" spans="1:17" ht="13.5" thickBot="1">
      <c r="C1903" s="481"/>
      <c r="D1903" s="4" t="s">
        <v>114</v>
      </c>
      <c r="E1903" s="483"/>
      <c r="F1903" s="483"/>
      <c r="G1903" s="483"/>
      <c r="H1903" s="483"/>
      <c r="I1903" s="483"/>
      <c r="J1903" s="452"/>
      <c r="K1903" s="467"/>
      <c r="L1903" s="492" t="s">
        <v>457</v>
      </c>
      <c r="M1903" s="546">
        <f>+M1902-M1901</f>
        <v>30.80667332134135</v>
      </c>
      <c r="N1903" s="546">
        <f>+N1902-N1901</f>
        <v>30.80667332134135</v>
      </c>
      <c r="O1903" s="547">
        <f>+O1902-O1901</f>
        <v>0</v>
      </c>
      <c r="Q1903" s="467"/>
    </row>
    <row r="1904" spans="1:17" ht="13.5" thickBot="1">
      <c r="C1904" s="481"/>
      <c r="D1904" s="4"/>
      <c r="E1904" s="483"/>
      <c r="F1904" s="483"/>
      <c r="G1904" s="483"/>
      <c r="H1904" s="483"/>
      <c r="I1904" s="483"/>
      <c r="J1904" s="483"/>
      <c r="K1904" s="483"/>
      <c r="L1904" s="483"/>
      <c r="M1904" s="483"/>
      <c r="N1904" s="483"/>
      <c r="O1904" s="483"/>
      <c r="Q1904" s="483"/>
    </row>
    <row r="1905" spans="1:17" ht="13.5" thickBot="1">
      <c r="C1905" s="484" t="s">
        <v>294</v>
      </c>
      <c r="D1905" s="485"/>
      <c r="E1905" s="485"/>
      <c r="F1905" s="485"/>
      <c r="G1905" s="485"/>
      <c r="H1905" s="485"/>
      <c r="I1905" s="485"/>
      <c r="J1905" s="485"/>
      <c r="Q1905"/>
    </row>
    <row r="1906" spans="1:17" ht="15">
      <c r="A1906" s="977"/>
      <c r="C1906" s="487" t="s">
        <v>272</v>
      </c>
      <c r="D1906" s="926">
        <v>8640.07</v>
      </c>
      <c r="E1906" s="4" t="s">
        <v>273</v>
      </c>
      <c r="H1906" s="79"/>
      <c r="I1906" s="79"/>
      <c r="J1906" s="488">
        <f>$J$95</f>
        <v>2025</v>
      </c>
      <c r="K1906" s="135"/>
      <c r="L1906" s="1287" t="s">
        <v>274</v>
      </c>
      <c r="M1906" s="1287"/>
      <c r="N1906" s="1287"/>
      <c r="O1906" s="1287"/>
      <c r="Q1906" s="135"/>
    </row>
    <row r="1907" spans="1:17">
      <c r="A1907" s="977"/>
      <c r="C1907" s="487" t="s">
        <v>275</v>
      </c>
      <c r="D1907" s="636">
        <v>2014</v>
      </c>
      <c r="E1907" s="487" t="s">
        <v>276</v>
      </c>
      <c r="F1907" s="79"/>
      <c r="G1907" s="79"/>
      <c r="I1907"/>
      <c r="J1907" s="638">
        <v>0</v>
      </c>
      <c r="K1907" s="489"/>
      <c r="L1907" s="467" t="s">
        <v>475</v>
      </c>
      <c r="Q1907" s="489"/>
    </row>
    <row r="1908" spans="1:17">
      <c r="A1908" s="977"/>
      <c r="C1908" s="487" t="s">
        <v>277</v>
      </c>
      <c r="D1908" s="926">
        <v>7</v>
      </c>
      <c r="E1908" s="487" t="s">
        <v>278</v>
      </c>
      <c r="F1908" s="79"/>
      <c r="G1908" s="79"/>
      <c r="I1908"/>
      <c r="J1908" s="490">
        <f>$F$70</f>
        <v>0.14996626714737105</v>
      </c>
      <c r="K1908" s="81"/>
      <c r="L1908" s="4" t="str">
        <f>"          INPUT TRUE-UP ARR (WITH &amp; WITHOUT INCENTIVES) FROM EACH PRIOR YEAR"</f>
        <v xml:space="preserve">          INPUT TRUE-UP ARR (WITH &amp; WITHOUT INCENTIVES) FROM EACH PRIOR YEAR</v>
      </c>
      <c r="Q1908" s="81"/>
    </row>
    <row r="1909" spans="1:17">
      <c r="A1909" s="977"/>
      <c r="C1909" s="487" t="s">
        <v>279</v>
      </c>
      <c r="D1909" s="491">
        <f>H79</f>
        <v>42</v>
      </c>
      <c r="E1909" s="487" t="s">
        <v>280</v>
      </c>
      <c r="F1909" s="79"/>
      <c r="G1909" s="79"/>
      <c r="I1909"/>
      <c r="J1909" s="490">
        <f>IF(H1900="",J1908,$F$69)</f>
        <v>0.14996626714737105</v>
      </c>
      <c r="K1909" s="81"/>
      <c r="L1909" s="4" t="s">
        <v>362</v>
      </c>
      <c r="M1909" s="81"/>
      <c r="N1909" s="81"/>
      <c r="O1909" s="81"/>
      <c r="Q1909" s="81"/>
    </row>
    <row r="1910" spans="1:17" ht="13.5" thickBot="1">
      <c r="A1910" s="977"/>
      <c r="C1910" s="487" t="s">
        <v>281</v>
      </c>
      <c r="D1910" s="637" t="s">
        <v>923</v>
      </c>
      <c r="E1910" s="492" t="s">
        <v>282</v>
      </c>
      <c r="F1910" s="493"/>
      <c r="G1910" s="493"/>
      <c r="H1910" s="494"/>
      <c r="I1910" s="494"/>
      <c r="J1910" s="480">
        <f>IF(D1906=0,0,D1906/D1909)</f>
        <v>205.71595238095239</v>
      </c>
      <c r="K1910" s="467"/>
      <c r="L1910" s="467" t="s">
        <v>363</v>
      </c>
      <c r="M1910" s="467"/>
      <c r="N1910" s="467"/>
      <c r="O1910" s="467"/>
      <c r="Q1910" s="467"/>
    </row>
    <row r="1911" spans="1:17" ht="38.25">
      <c r="A1911" s="12"/>
      <c r="B1911" s="12"/>
      <c r="C1911" s="495" t="s">
        <v>272</v>
      </c>
      <c r="D1911" s="496" t="s">
        <v>283</v>
      </c>
      <c r="E1911" s="497" t="s">
        <v>284</v>
      </c>
      <c r="F1911" s="496" t="s">
        <v>285</v>
      </c>
      <c r="G1911" s="496" t="s">
        <v>458</v>
      </c>
      <c r="H1911" s="497" t="s">
        <v>356</v>
      </c>
      <c r="I1911" s="498" t="s">
        <v>356</v>
      </c>
      <c r="J1911" s="495" t="s">
        <v>295</v>
      </c>
      <c r="K1911" s="499"/>
      <c r="L1911" s="497" t="s">
        <v>358</v>
      </c>
      <c r="M1911" s="497" t="s">
        <v>364</v>
      </c>
      <c r="N1911" s="497" t="s">
        <v>358</v>
      </c>
      <c r="O1911" s="497" t="s">
        <v>366</v>
      </c>
      <c r="P1911" s="497" t="s">
        <v>286</v>
      </c>
      <c r="Q1911" s="128"/>
    </row>
    <row r="1912" spans="1:17" ht="13.5" thickBot="1">
      <c r="C1912" s="500" t="s">
        <v>177</v>
      </c>
      <c r="D1912" s="501" t="s">
        <v>178</v>
      </c>
      <c r="E1912" s="500" t="s">
        <v>37</v>
      </c>
      <c r="F1912" s="501" t="s">
        <v>178</v>
      </c>
      <c r="G1912" s="501" t="s">
        <v>178</v>
      </c>
      <c r="H1912" s="502" t="s">
        <v>298</v>
      </c>
      <c r="I1912" s="503" t="s">
        <v>300</v>
      </c>
      <c r="J1912" s="500" t="s">
        <v>389</v>
      </c>
      <c r="K1912" s="504"/>
      <c r="L1912" s="502" t="s">
        <v>287</v>
      </c>
      <c r="M1912" s="502" t="s">
        <v>287</v>
      </c>
      <c r="N1912" s="502" t="s">
        <v>467</v>
      </c>
      <c r="O1912" s="502" t="s">
        <v>467</v>
      </c>
      <c r="P1912" s="502" t="s">
        <v>467</v>
      </c>
      <c r="Q1912" s="135"/>
    </row>
    <row r="1913" spans="1:17">
      <c r="C1913" s="505">
        <f>IF(D1907= "","-",D1907)</f>
        <v>2014</v>
      </c>
      <c r="D1913" s="469">
        <f>+D1906</f>
        <v>8640.07</v>
      </c>
      <c r="E1913" s="506">
        <f>+J1910/12*(12-D1908)</f>
        <v>85.714980158730171</v>
      </c>
      <c r="F1913" s="548">
        <f t="shared" ref="F1913:F1972" si="180">+D1913-E1913</f>
        <v>8554.3550198412704</v>
      </c>
      <c r="G1913" s="469">
        <f t="shared" ref="G1913:G1944" si="181">+(D1913+F1913)/2</f>
        <v>8597.2125099206351</v>
      </c>
      <c r="H1913" s="507">
        <f>+J1908*G1913+E1913</f>
        <v>1375.0068481442086</v>
      </c>
      <c r="I1913" s="508">
        <f>+J1909*G1913+E1913</f>
        <v>1375.0068481442086</v>
      </c>
      <c r="J1913" s="509">
        <f t="shared" ref="J1913:J1944" si="182">+I1913-H1913</f>
        <v>0</v>
      </c>
      <c r="K1913" s="509"/>
      <c r="L1913" s="513">
        <v>0</v>
      </c>
      <c r="M1913" s="549">
        <f t="shared" ref="M1913:M1944" si="183">IF(L1913&lt;&gt;0,+H1913-L1913,0)</f>
        <v>0</v>
      </c>
      <c r="N1913" s="513">
        <v>0</v>
      </c>
      <c r="O1913" s="549">
        <f t="shared" ref="O1913:O1944" si="184">IF(N1913&lt;&gt;0,+I1913-N1913,0)</f>
        <v>0</v>
      </c>
      <c r="P1913" s="549">
        <f t="shared" ref="P1913:P1972" si="185">+O1913-M1913</f>
        <v>0</v>
      </c>
      <c r="Q1913" s="471"/>
    </row>
    <row r="1914" spans="1:17">
      <c r="C1914" s="505">
        <f>IF(D1907="","-",+C1913+1)</f>
        <v>2015</v>
      </c>
      <c r="D1914" s="469">
        <f t="shared" ref="D1914:D1972" si="186">F1913</f>
        <v>8554.3550198412704</v>
      </c>
      <c r="E1914" s="511">
        <f>IF(D1914&gt;$J$1910,$J$1910,D1914)</f>
        <v>205.71595238095239</v>
      </c>
      <c r="F1914" s="511">
        <f t="shared" si="180"/>
        <v>8348.6390674603172</v>
      </c>
      <c r="G1914" s="469">
        <f t="shared" si="181"/>
        <v>8451.4970436507938</v>
      </c>
      <c r="H1914" s="506">
        <f>+J1908*G1914+E1914</f>
        <v>1473.1554158243039</v>
      </c>
      <c r="I1914" s="512">
        <f>+J1909*G1914+E1914</f>
        <v>1473.1554158243039</v>
      </c>
      <c r="J1914" s="509">
        <f t="shared" si="182"/>
        <v>0</v>
      </c>
      <c r="K1914" s="509"/>
      <c r="L1914" s="513">
        <v>0</v>
      </c>
      <c r="M1914" s="509">
        <f t="shared" si="183"/>
        <v>0</v>
      </c>
      <c r="N1914" s="513">
        <v>0</v>
      </c>
      <c r="O1914" s="509">
        <f t="shared" si="184"/>
        <v>0</v>
      </c>
      <c r="P1914" s="509">
        <f t="shared" si="185"/>
        <v>0</v>
      </c>
      <c r="Q1914" s="471"/>
    </row>
    <row r="1915" spans="1:17">
      <c r="C1915" s="505">
        <f>IF(D1907="","-",+C1914+1)</f>
        <v>2016</v>
      </c>
      <c r="D1915" s="469">
        <f t="shared" si="186"/>
        <v>8348.6390674603172</v>
      </c>
      <c r="E1915" s="511">
        <f t="shared" ref="E1915:E1972" si="187">IF(D1915&gt;$J$1910,$J$1910,D1915)</f>
        <v>205.71595238095239</v>
      </c>
      <c r="F1915" s="511">
        <f t="shared" si="180"/>
        <v>8142.9231150793648</v>
      </c>
      <c r="G1915" s="469">
        <f t="shared" si="181"/>
        <v>8245.7810912698405</v>
      </c>
      <c r="H1915" s="506">
        <f>+J1908*G1915+E1915</f>
        <v>1442.304962353066</v>
      </c>
      <c r="I1915" s="512">
        <f>+J1909*G1915+E1915</f>
        <v>1442.304962353066</v>
      </c>
      <c r="J1915" s="509">
        <f t="shared" si="182"/>
        <v>0</v>
      </c>
      <c r="K1915" s="509"/>
      <c r="L1915" s="513">
        <v>0</v>
      </c>
      <c r="M1915" s="509">
        <f t="shared" si="183"/>
        <v>0</v>
      </c>
      <c r="N1915" s="513">
        <v>0</v>
      </c>
      <c r="O1915" s="509">
        <f t="shared" si="184"/>
        <v>0</v>
      </c>
      <c r="P1915" s="509">
        <f t="shared" si="185"/>
        <v>0</v>
      </c>
      <c r="Q1915" s="471"/>
    </row>
    <row r="1916" spans="1:17">
      <c r="C1916" s="505">
        <f>IF(D1907="","-",+C1915+1)</f>
        <v>2017</v>
      </c>
      <c r="D1916" s="941">
        <f t="shared" si="186"/>
        <v>8142.9231150793648</v>
      </c>
      <c r="E1916" s="511">
        <f t="shared" si="187"/>
        <v>205.71595238095239</v>
      </c>
      <c r="F1916" s="511">
        <f t="shared" si="180"/>
        <v>7937.2071626984125</v>
      </c>
      <c r="G1916" s="469">
        <f t="shared" si="181"/>
        <v>8040.0651388888891</v>
      </c>
      <c r="H1916" s="506">
        <f>+J1908*G1916+E1916</f>
        <v>1411.4545088818284</v>
      </c>
      <c r="I1916" s="512">
        <f>+J1909*G1916+E1916</f>
        <v>1411.4545088818284</v>
      </c>
      <c r="J1916" s="509">
        <f t="shared" si="182"/>
        <v>0</v>
      </c>
      <c r="K1916" s="509"/>
      <c r="L1916" s="513">
        <v>0</v>
      </c>
      <c r="M1916" s="509">
        <f t="shared" si="183"/>
        <v>0</v>
      </c>
      <c r="N1916" s="513">
        <v>0</v>
      </c>
      <c r="O1916" s="509">
        <f t="shared" si="184"/>
        <v>0</v>
      </c>
      <c r="P1916" s="509">
        <f t="shared" si="185"/>
        <v>0</v>
      </c>
      <c r="Q1916" s="471"/>
    </row>
    <row r="1917" spans="1:17">
      <c r="C1917" s="505">
        <f>IF(D1907="","-",+C1916+1)</f>
        <v>2018</v>
      </c>
      <c r="D1917" s="469">
        <f t="shared" si="186"/>
        <v>7937.2071626984125</v>
      </c>
      <c r="E1917" s="511">
        <f t="shared" si="187"/>
        <v>205.71595238095239</v>
      </c>
      <c r="F1917" s="511">
        <f t="shared" si="180"/>
        <v>7731.4912103174602</v>
      </c>
      <c r="G1917" s="469">
        <f t="shared" si="181"/>
        <v>7834.3491865079359</v>
      </c>
      <c r="H1917" s="506">
        <f>+J1908*G1917+E1917</f>
        <v>1380.6040554105905</v>
      </c>
      <c r="I1917" s="512">
        <f>+J1909*G1917+E1917</f>
        <v>1380.6040554105905</v>
      </c>
      <c r="J1917" s="509">
        <f t="shared" si="182"/>
        <v>0</v>
      </c>
      <c r="K1917" s="509"/>
      <c r="L1917" s="513">
        <v>1387</v>
      </c>
      <c r="M1917" s="509">
        <f t="shared" si="183"/>
        <v>-6.3959445894095097</v>
      </c>
      <c r="N1917" s="513">
        <v>1387</v>
      </c>
      <c r="O1917" s="509">
        <f t="shared" si="184"/>
        <v>-6.3959445894095097</v>
      </c>
      <c r="P1917" s="509">
        <f t="shared" si="185"/>
        <v>0</v>
      </c>
      <c r="Q1917" s="471"/>
    </row>
    <row r="1918" spans="1:17">
      <c r="C1918" s="505">
        <f>IF(D1907="","-",+C1917+1)</f>
        <v>2019</v>
      </c>
      <c r="D1918" s="941">
        <f t="shared" si="186"/>
        <v>7731.4912103174602</v>
      </c>
      <c r="E1918" s="511">
        <f t="shared" si="187"/>
        <v>205.71595238095239</v>
      </c>
      <c r="F1918" s="511">
        <f t="shared" si="180"/>
        <v>7525.7752579365078</v>
      </c>
      <c r="G1918" s="469">
        <f t="shared" si="181"/>
        <v>7628.6332341269845</v>
      </c>
      <c r="H1918" s="506">
        <f>+J1908*G1918+E1918</f>
        <v>1349.7536019393528</v>
      </c>
      <c r="I1918" s="512">
        <f>+J1909*G1918+E1918</f>
        <v>1349.7536019393528</v>
      </c>
      <c r="J1918" s="509">
        <f t="shared" si="182"/>
        <v>0</v>
      </c>
      <c r="K1918" s="509"/>
      <c r="L1918" s="513">
        <v>1349</v>
      </c>
      <c r="M1918" s="509">
        <f t="shared" si="183"/>
        <v>0.75360193935284769</v>
      </c>
      <c r="N1918" s="513">
        <v>1349</v>
      </c>
      <c r="O1918" s="509">
        <f t="shared" si="184"/>
        <v>0.75360193935284769</v>
      </c>
      <c r="P1918" s="509">
        <f t="shared" si="185"/>
        <v>0</v>
      </c>
      <c r="Q1918" s="471"/>
    </row>
    <row r="1919" spans="1:17">
      <c r="C1919" s="505">
        <f>IF(D1907="","-",+C1918+1)</f>
        <v>2020</v>
      </c>
      <c r="D1919" s="941">
        <f t="shared" si="186"/>
        <v>7525.7752579365078</v>
      </c>
      <c r="E1919" s="511">
        <f t="shared" si="187"/>
        <v>205.71595238095239</v>
      </c>
      <c r="F1919" s="511">
        <f t="shared" si="180"/>
        <v>7320.0593055555555</v>
      </c>
      <c r="G1919" s="469">
        <f t="shared" si="181"/>
        <v>7422.9172817460312</v>
      </c>
      <c r="H1919" s="506">
        <f>+J1908*G1919+E1919</f>
        <v>1318.903148468115</v>
      </c>
      <c r="I1919" s="512">
        <f>+J1909*G1919+E1919</f>
        <v>1318.903148468115</v>
      </c>
      <c r="J1919" s="509">
        <f t="shared" si="182"/>
        <v>0</v>
      </c>
      <c r="K1919" s="509"/>
      <c r="L1919" s="513">
        <v>2796.2643351965316</v>
      </c>
      <c r="M1919" s="509">
        <f t="shared" si="183"/>
        <v>-1477.3611867284167</v>
      </c>
      <c r="N1919" s="513">
        <v>2796.2643351965316</v>
      </c>
      <c r="O1919" s="509">
        <f t="shared" si="184"/>
        <v>-1477.3611867284167</v>
      </c>
      <c r="P1919" s="509">
        <f t="shared" si="185"/>
        <v>0</v>
      </c>
      <c r="Q1919" s="471"/>
    </row>
    <row r="1920" spans="1:17">
      <c r="C1920" s="505">
        <f>IF(D1907="","-",+C1919+1)</f>
        <v>2021</v>
      </c>
      <c r="D1920" s="469">
        <f t="shared" si="186"/>
        <v>7320.0593055555555</v>
      </c>
      <c r="E1920" s="511">
        <f t="shared" si="187"/>
        <v>205.71595238095239</v>
      </c>
      <c r="F1920" s="511">
        <f t="shared" si="180"/>
        <v>7114.3433531746032</v>
      </c>
      <c r="G1920" s="469">
        <f t="shared" si="181"/>
        <v>7217.2013293650798</v>
      </c>
      <c r="H1920" s="506">
        <f>+J1908*G1920+E1920</f>
        <v>1288.0526949968773</v>
      </c>
      <c r="I1920" s="512">
        <f>+J1909*G1920+E1920</f>
        <v>1288.0526949968773</v>
      </c>
      <c r="J1920" s="509">
        <f t="shared" si="182"/>
        <v>0</v>
      </c>
      <c r="K1920" s="509"/>
      <c r="L1920" s="513">
        <v>1240.2240028428416</v>
      </c>
      <c r="M1920" s="509">
        <f t="shared" si="183"/>
        <v>47.828692154035707</v>
      </c>
      <c r="N1920" s="513">
        <v>1240.2240028428416</v>
      </c>
      <c r="O1920" s="509">
        <f t="shared" si="184"/>
        <v>47.828692154035707</v>
      </c>
      <c r="P1920" s="509">
        <f t="shared" si="185"/>
        <v>0</v>
      </c>
      <c r="Q1920" s="471"/>
    </row>
    <row r="1921" spans="3:17">
      <c r="C1921" s="505">
        <f>IF(D1907="","-",+C1920+1)</f>
        <v>2022</v>
      </c>
      <c r="D1921" s="469">
        <f t="shared" si="186"/>
        <v>7114.3433531746032</v>
      </c>
      <c r="E1921" s="511">
        <f t="shared" si="187"/>
        <v>205.71595238095239</v>
      </c>
      <c r="F1921" s="511">
        <f t="shared" si="180"/>
        <v>6908.6274007936508</v>
      </c>
      <c r="G1921" s="469">
        <f t="shared" si="181"/>
        <v>7011.4853769841266</v>
      </c>
      <c r="H1921" s="506">
        <f>+J1908*G1921+E1921</f>
        <v>1257.2022415256395</v>
      </c>
      <c r="I1921" s="512">
        <f>+J1909*G1921+E1921</f>
        <v>1257.2022415256395</v>
      </c>
      <c r="J1921" s="509">
        <f t="shared" si="182"/>
        <v>0</v>
      </c>
      <c r="K1921" s="509"/>
      <c r="L1921" s="513">
        <v>1217.0980304587208</v>
      </c>
      <c r="M1921" s="509">
        <f t="shared" si="183"/>
        <v>40.104211066918651</v>
      </c>
      <c r="N1921" s="513">
        <v>1217.0980304587208</v>
      </c>
      <c r="O1921" s="509">
        <f t="shared" si="184"/>
        <v>40.104211066918651</v>
      </c>
      <c r="P1921" s="509">
        <f t="shared" si="185"/>
        <v>0</v>
      </c>
      <c r="Q1921" s="471"/>
    </row>
    <row r="1922" spans="3:17">
      <c r="C1922" s="963">
        <f>IF(D1907="","-",+C1921+1)</f>
        <v>2023</v>
      </c>
      <c r="D1922" s="469">
        <f t="shared" si="186"/>
        <v>6908.6274007936508</v>
      </c>
      <c r="E1922" s="511">
        <f t="shared" si="187"/>
        <v>205.71595238095239</v>
      </c>
      <c r="F1922" s="511">
        <f t="shared" si="180"/>
        <v>6702.9114484126985</v>
      </c>
      <c r="G1922" s="469">
        <f t="shared" si="181"/>
        <v>6805.7694246031751</v>
      </c>
      <c r="H1922" s="506">
        <f>+J1908*G1922+E1922</f>
        <v>1226.3517880544018</v>
      </c>
      <c r="I1922" s="512">
        <f>+J1909*G1922+E1922</f>
        <v>1226.3517880544018</v>
      </c>
      <c r="J1922" s="509">
        <f t="shared" si="182"/>
        <v>0</v>
      </c>
      <c r="K1922" s="509"/>
      <c r="L1922" s="513">
        <v>1235.3581736164513</v>
      </c>
      <c r="M1922" s="509">
        <f t="shared" si="183"/>
        <v>-9.0063855620494451</v>
      </c>
      <c r="N1922" s="513">
        <v>1235.3581736164513</v>
      </c>
      <c r="O1922" s="509">
        <f t="shared" si="184"/>
        <v>-9.0063855620494451</v>
      </c>
      <c r="P1922" s="509">
        <f t="shared" si="185"/>
        <v>0</v>
      </c>
      <c r="Q1922" s="471"/>
    </row>
    <row r="1923" spans="3:17">
      <c r="C1923" s="505">
        <f>IF(D1907="","-",+C1922+1)</f>
        <v>2024</v>
      </c>
      <c r="D1923" s="469">
        <f t="shared" si="186"/>
        <v>6702.9114484126985</v>
      </c>
      <c r="E1923" s="511">
        <f t="shared" si="187"/>
        <v>205.71595238095239</v>
      </c>
      <c r="F1923" s="511">
        <f t="shared" si="180"/>
        <v>6497.1954960317462</v>
      </c>
      <c r="G1923" s="469">
        <f t="shared" si="181"/>
        <v>6600.0534722222219</v>
      </c>
      <c r="H1923" s="506">
        <f>+J1908*G1923+E1923</f>
        <v>1195.501334583164</v>
      </c>
      <c r="I1923" s="512">
        <f>+J1909*G1923+E1923</f>
        <v>1195.501334583164</v>
      </c>
      <c r="J1923" s="509">
        <f t="shared" si="182"/>
        <v>0</v>
      </c>
      <c r="K1923" s="509"/>
      <c r="L1923" s="513">
        <v>1199.4775072964449</v>
      </c>
      <c r="M1923" s="509">
        <f t="shared" si="183"/>
        <v>-3.9761727132809028</v>
      </c>
      <c r="N1923" s="513">
        <v>1199.4775072964449</v>
      </c>
      <c r="O1923" s="509">
        <f t="shared" si="184"/>
        <v>-3.9761727132809028</v>
      </c>
      <c r="P1923" s="509">
        <f t="shared" si="185"/>
        <v>0</v>
      </c>
      <c r="Q1923" s="471"/>
    </row>
    <row r="1924" spans="3:17">
      <c r="C1924" s="505">
        <f>IF(D1907="","-",+C1923+1)</f>
        <v>2025</v>
      </c>
      <c r="D1924" s="469">
        <f t="shared" si="186"/>
        <v>6497.1954960317462</v>
      </c>
      <c r="E1924" s="511">
        <f t="shared" si="187"/>
        <v>205.71595238095239</v>
      </c>
      <c r="F1924" s="511">
        <f t="shared" si="180"/>
        <v>6291.4795436507939</v>
      </c>
      <c r="G1924" s="469">
        <f t="shared" si="181"/>
        <v>6394.3375198412705</v>
      </c>
      <c r="H1924" s="506">
        <f>+J1908*G1924+E1924</f>
        <v>1164.6508811119263</v>
      </c>
      <c r="I1924" s="512">
        <f>+J1909*G1924+E1924</f>
        <v>1164.6508811119263</v>
      </c>
      <c r="J1924" s="509">
        <f t="shared" si="182"/>
        <v>0</v>
      </c>
      <c r="K1924" s="509"/>
      <c r="L1924" s="513">
        <v>1133.844207790585</v>
      </c>
      <c r="M1924" s="509">
        <f t="shared" si="183"/>
        <v>30.80667332134135</v>
      </c>
      <c r="N1924" s="513">
        <v>1133.844207790585</v>
      </c>
      <c r="O1924" s="509">
        <f t="shared" si="184"/>
        <v>30.80667332134135</v>
      </c>
      <c r="P1924" s="509">
        <f t="shared" si="185"/>
        <v>0</v>
      </c>
      <c r="Q1924" s="471"/>
    </row>
    <row r="1925" spans="3:17">
      <c r="C1925" s="505">
        <f>IF(D1907="","-",+C1924+1)</f>
        <v>2026</v>
      </c>
      <c r="D1925" s="469">
        <f t="shared" si="186"/>
        <v>6291.4795436507939</v>
      </c>
      <c r="E1925" s="511">
        <f t="shared" si="187"/>
        <v>205.71595238095239</v>
      </c>
      <c r="F1925" s="511">
        <f t="shared" si="180"/>
        <v>6085.7635912698415</v>
      </c>
      <c r="G1925" s="469">
        <f t="shared" si="181"/>
        <v>6188.6215674603172</v>
      </c>
      <c r="H1925" s="506">
        <f>+J1908*G1925+E1925</f>
        <v>1133.8004276406884</v>
      </c>
      <c r="I1925" s="512">
        <f>+J1909*G1925+E1925</f>
        <v>1133.8004276406884</v>
      </c>
      <c r="J1925" s="509">
        <f t="shared" si="182"/>
        <v>0</v>
      </c>
      <c r="K1925" s="509"/>
      <c r="L1925" s="513"/>
      <c r="M1925" s="509">
        <f t="shared" si="183"/>
        <v>0</v>
      </c>
      <c r="N1925" s="513"/>
      <c r="O1925" s="509">
        <f t="shared" si="184"/>
        <v>0</v>
      </c>
      <c r="P1925" s="509">
        <f t="shared" si="185"/>
        <v>0</v>
      </c>
      <c r="Q1925" s="471"/>
    </row>
    <row r="1926" spans="3:17">
      <c r="C1926" s="505">
        <f>IF(D1907="","-",+C1925+1)</f>
        <v>2027</v>
      </c>
      <c r="D1926" s="469">
        <f t="shared" si="186"/>
        <v>6085.7635912698415</v>
      </c>
      <c r="E1926" s="511">
        <f t="shared" si="187"/>
        <v>205.71595238095239</v>
      </c>
      <c r="F1926" s="511">
        <f t="shared" si="180"/>
        <v>5880.0476388888892</v>
      </c>
      <c r="G1926" s="469">
        <f t="shared" si="181"/>
        <v>5982.9056150793658</v>
      </c>
      <c r="H1926" s="506">
        <f>+J1908*G1926+E1926</f>
        <v>1102.9499741694508</v>
      </c>
      <c r="I1926" s="512">
        <f>+J1909*G1926+E1926</f>
        <v>1102.9499741694508</v>
      </c>
      <c r="J1926" s="509">
        <f t="shared" si="182"/>
        <v>0</v>
      </c>
      <c r="K1926" s="509"/>
      <c r="L1926" s="513"/>
      <c r="M1926" s="509">
        <f t="shared" si="183"/>
        <v>0</v>
      </c>
      <c r="N1926" s="513"/>
      <c r="O1926" s="509">
        <f t="shared" si="184"/>
        <v>0</v>
      </c>
      <c r="P1926" s="509">
        <f t="shared" si="185"/>
        <v>0</v>
      </c>
      <c r="Q1926" s="471"/>
    </row>
    <row r="1927" spans="3:17">
      <c r="C1927" s="505">
        <f>IF(D1907="","-",+C1926+1)</f>
        <v>2028</v>
      </c>
      <c r="D1927" s="469">
        <f t="shared" si="186"/>
        <v>5880.0476388888892</v>
      </c>
      <c r="E1927" s="511">
        <f t="shared" si="187"/>
        <v>205.71595238095239</v>
      </c>
      <c r="F1927" s="511">
        <f t="shared" si="180"/>
        <v>5674.3316865079369</v>
      </c>
      <c r="G1927" s="469">
        <f t="shared" si="181"/>
        <v>5777.1896626984126</v>
      </c>
      <c r="H1927" s="506">
        <f>+J1908*G1927+E1927</f>
        <v>1072.0995206982129</v>
      </c>
      <c r="I1927" s="512">
        <f>+J1909*G1927+E1927</f>
        <v>1072.0995206982129</v>
      </c>
      <c r="J1927" s="509">
        <f t="shared" si="182"/>
        <v>0</v>
      </c>
      <c r="K1927" s="509"/>
      <c r="L1927" s="513"/>
      <c r="M1927" s="509">
        <f t="shared" si="183"/>
        <v>0</v>
      </c>
      <c r="N1927" s="513"/>
      <c r="O1927" s="509">
        <f t="shared" si="184"/>
        <v>0</v>
      </c>
      <c r="P1927" s="509">
        <f t="shared" si="185"/>
        <v>0</v>
      </c>
      <c r="Q1927" s="471"/>
    </row>
    <row r="1928" spans="3:17">
      <c r="C1928" s="505">
        <f>IF(D1907="","-",+C1927+1)</f>
        <v>2029</v>
      </c>
      <c r="D1928" s="469">
        <f t="shared" si="186"/>
        <v>5674.3316865079369</v>
      </c>
      <c r="E1928" s="511">
        <f t="shared" si="187"/>
        <v>205.71595238095239</v>
      </c>
      <c r="F1928" s="511">
        <f t="shared" si="180"/>
        <v>5468.6157341269845</v>
      </c>
      <c r="G1928" s="469">
        <f t="shared" si="181"/>
        <v>5571.4737103174612</v>
      </c>
      <c r="H1928" s="506">
        <f>+J1908*G1928+E1928</f>
        <v>1041.2490672269753</v>
      </c>
      <c r="I1928" s="512">
        <f>+J1909*G1928+E1928</f>
        <v>1041.2490672269753</v>
      </c>
      <c r="J1928" s="509">
        <f t="shared" si="182"/>
        <v>0</v>
      </c>
      <c r="K1928" s="509"/>
      <c r="L1928" s="513"/>
      <c r="M1928" s="509">
        <f t="shared" si="183"/>
        <v>0</v>
      </c>
      <c r="N1928" s="513"/>
      <c r="O1928" s="509">
        <f t="shared" si="184"/>
        <v>0</v>
      </c>
      <c r="P1928" s="509">
        <f t="shared" si="185"/>
        <v>0</v>
      </c>
      <c r="Q1928" s="471"/>
    </row>
    <row r="1929" spans="3:17">
      <c r="C1929" s="505">
        <f>IF(D1907="","-",+C1928+1)</f>
        <v>2030</v>
      </c>
      <c r="D1929" s="469">
        <f t="shared" si="186"/>
        <v>5468.6157341269845</v>
      </c>
      <c r="E1929" s="511">
        <f t="shared" si="187"/>
        <v>205.71595238095239</v>
      </c>
      <c r="F1929" s="511">
        <f t="shared" si="180"/>
        <v>5262.8997817460322</v>
      </c>
      <c r="G1929" s="469">
        <f t="shared" si="181"/>
        <v>5365.7577579365079</v>
      </c>
      <c r="H1929" s="506">
        <f>+J1908*G1929+E1929</f>
        <v>1010.3986137557374</v>
      </c>
      <c r="I1929" s="512">
        <f>+J1909*G1929+E1929</f>
        <v>1010.3986137557374</v>
      </c>
      <c r="J1929" s="509">
        <f t="shared" si="182"/>
        <v>0</v>
      </c>
      <c r="K1929" s="509"/>
      <c r="L1929" s="513"/>
      <c r="M1929" s="509">
        <f t="shared" si="183"/>
        <v>0</v>
      </c>
      <c r="N1929" s="513"/>
      <c r="O1929" s="509">
        <f t="shared" si="184"/>
        <v>0</v>
      </c>
      <c r="P1929" s="509">
        <f t="shared" si="185"/>
        <v>0</v>
      </c>
      <c r="Q1929" s="471"/>
    </row>
    <row r="1930" spans="3:17">
      <c r="C1930" s="505">
        <f>IF(D1907="","-",+C1929+1)</f>
        <v>2031</v>
      </c>
      <c r="D1930" s="469">
        <f t="shared" si="186"/>
        <v>5262.8997817460322</v>
      </c>
      <c r="E1930" s="511">
        <f t="shared" si="187"/>
        <v>205.71595238095239</v>
      </c>
      <c r="F1930" s="511">
        <f t="shared" si="180"/>
        <v>5057.1838293650799</v>
      </c>
      <c r="G1930" s="469">
        <f t="shared" si="181"/>
        <v>5160.0418055555565</v>
      </c>
      <c r="H1930" s="506">
        <f>+J1908*G1930+E1930</f>
        <v>979.54816028449977</v>
      </c>
      <c r="I1930" s="512">
        <f>+J1909*G1930+E1930</f>
        <v>979.54816028449977</v>
      </c>
      <c r="J1930" s="509">
        <f t="shared" si="182"/>
        <v>0</v>
      </c>
      <c r="K1930" s="509"/>
      <c r="L1930" s="513"/>
      <c r="M1930" s="509">
        <f t="shared" si="183"/>
        <v>0</v>
      </c>
      <c r="N1930" s="513"/>
      <c r="O1930" s="509">
        <f t="shared" si="184"/>
        <v>0</v>
      </c>
      <c r="P1930" s="509">
        <f t="shared" si="185"/>
        <v>0</v>
      </c>
      <c r="Q1930" s="471"/>
    </row>
    <row r="1931" spans="3:17">
      <c r="C1931" s="505">
        <f>IF(D1907="","-",+C1930+1)</f>
        <v>2032</v>
      </c>
      <c r="D1931" s="469">
        <f t="shared" si="186"/>
        <v>5057.1838293650799</v>
      </c>
      <c r="E1931" s="511">
        <f t="shared" si="187"/>
        <v>205.71595238095239</v>
      </c>
      <c r="F1931" s="511">
        <f t="shared" si="180"/>
        <v>4851.4678769841275</v>
      </c>
      <c r="G1931" s="469">
        <f t="shared" si="181"/>
        <v>4954.3258531746033</v>
      </c>
      <c r="H1931" s="506">
        <f>+J1908*G1931+E1931</f>
        <v>948.6977068132619</v>
      </c>
      <c r="I1931" s="512">
        <f>+J1909*G1931+E1931</f>
        <v>948.6977068132619</v>
      </c>
      <c r="J1931" s="509">
        <f t="shared" si="182"/>
        <v>0</v>
      </c>
      <c r="K1931" s="509"/>
      <c r="L1931" s="513"/>
      <c r="M1931" s="509">
        <f t="shared" si="183"/>
        <v>0</v>
      </c>
      <c r="N1931" s="513"/>
      <c r="O1931" s="509">
        <f t="shared" si="184"/>
        <v>0</v>
      </c>
      <c r="P1931" s="509">
        <f t="shared" si="185"/>
        <v>0</v>
      </c>
      <c r="Q1931" s="471"/>
    </row>
    <row r="1932" spans="3:17">
      <c r="C1932" s="505">
        <f>IF(D1907="","-",+C1931+1)</f>
        <v>2033</v>
      </c>
      <c r="D1932" s="469">
        <f t="shared" si="186"/>
        <v>4851.4678769841275</v>
      </c>
      <c r="E1932" s="511">
        <f t="shared" si="187"/>
        <v>205.71595238095239</v>
      </c>
      <c r="F1932" s="511">
        <f t="shared" si="180"/>
        <v>4645.7519246031752</v>
      </c>
      <c r="G1932" s="469">
        <f t="shared" si="181"/>
        <v>4748.6099007936518</v>
      </c>
      <c r="H1932" s="506">
        <f>+J1908*G1932+E1932</f>
        <v>917.84725334202426</v>
      </c>
      <c r="I1932" s="512">
        <f>+J1909*G1932+E1932</f>
        <v>917.84725334202426</v>
      </c>
      <c r="J1932" s="509">
        <f t="shared" si="182"/>
        <v>0</v>
      </c>
      <c r="K1932" s="509"/>
      <c r="L1932" s="513"/>
      <c r="M1932" s="509">
        <f t="shared" si="183"/>
        <v>0</v>
      </c>
      <c r="N1932" s="513"/>
      <c r="O1932" s="509">
        <f t="shared" si="184"/>
        <v>0</v>
      </c>
      <c r="P1932" s="509">
        <f t="shared" si="185"/>
        <v>0</v>
      </c>
      <c r="Q1932" s="471"/>
    </row>
    <row r="1933" spans="3:17">
      <c r="C1933" s="505">
        <f>IF(D1907="","-",+C1932+1)</f>
        <v>2034</v>
      </c>
      <c r="D1933" s="469">
        <f t="shared" si="186"/>
        <v>4645.7519246031752</v>
      </c>
      <c r="E1933" s="511">
        <f t="shared" si="187"/>
        <v>205.71595238095239</v>
      </c>
      <c r="F1933" s="511">
        <f t="shared" si="180"/>
        <v>4440.0359722222229</v>
      </c>
      <c r="G1933" s="469">
        <f t="shared" si="181"/>
        <v>4542.8939484126986</v>
      </c>
      <c r="H1933" s="506">
        <f>+J1908*G1933+E1933</f>
        <v>886.99679987078639</v>
      </c>
      <c r="I1933" s="512">
        <f>+J1909*G1933+E1933</f>
        <v>886.99679987078639</v>
      </c>
      <c r="J1933" s="509">
        <f t="shared" si="182"/>
        <v>0</v>
      </c>
      <c r="K1933" s="509"/>
      <c r="L1933" s="513"/>
      <c r="M1933" s="509">
        <f t="shared" si="183"/>
        <v>0</v>
      </c>
      <c r="N1933" s="513"/>
      <c r="O1933" s="509">
        <f t="shared" si="184"/>
        <v>0</v>
      </c>
      <c r="P1933" s="509">
        <f t="shared" si="185"/>
        <v>0</v>
      </c>
      <c r="Q1933" s="471"/>
    </row>
    <row r="1934" spans="3:17">
      <c r="C1934" s="505">
        <f>IF(D1907="","-",+C1933+1)</f>
        <v>2035</v>
      </c>
      <c r="D1934" s="469">
        <f t="shared" si="186"/>
        <v>4440.0359722222229</v>
      </c>
      <c r="E1934" s="511">
        <f t="shared" si="187"/>
        <v>205.71595238095239</v>
      </c>
      <c r="F1934" s="511">
        <f t="shared" si="180"/>
        <v>4234.3200198412706</v>
      </c>
      <c r="G1934" s="469">
        <f t="shared" si="181"/>
        <v>4337.1779960317472</v>
      </c>
      <c r="H1934" s="506">
        <f>+J1908*G1934+E1934</f>
        <v>856.14634639954875</v>
      </c>
      <c r="I1934" s="512">
        <f>+J1909*G1934+E1934</f>
        <v>856.14634639954875</v>
      </c>
      <c r="J1934" s="509">
        <f t="shared" si="182"/>
        <v>0</v>
      </c>
      <c r="K1934" s="509"/>
      <c r="L1934" s="513"/>
      <c r="M1934" s="509">
        <f t="shared" si="183"/>
        <v>0</v>
      </c>
      <c r="N1934" s="513"/>
      <c r="O1934" s="509">
        <f t="shared" si="184"/>
        <v>0</v>
      </c>
      <c r="P1934" s="509">
        <f t="shared" si="185"/>
        <v>0</v>
      </c>
      <c r="Q1934" s="471"/>
    </row>
    <row r="1935" spans="3:17">
      <c r="C1935" s="505">
        <f>IF(D1907="","-",+C1934+1)</f>
        <v>2036</v>
      </c>
      <c r="D1935" s="469">
        <f t="shared" si="186"/>
        <v>4234.3200198412706</v>
      </c>
      <c r="E1935" s="511">
        <f t="shared" si="187"/>
        <v>205.71595238095239</v>
      </c>
      <c r="F1935" s="511">
        <f t="shared" si="180"/>
        <v>4028.6040674603182</v>
      </c>
      <c r="G1935" s="469">
        <f t="shared" si="181"/>
        <v>4131.4620436507939</v>
      </c>
      <c r="H1935" s="506">
        <f>+J1908*G1935+E1935</f>
        <v>825.29589292831088</v>
      </c>
      <c r="I1935" s="512">
        <f>+J1909*G1935+E1935</f>
        <v>825.29589292831088</v>
      </c>
      <c r="J1935" s="509">
        <f t="shared" si="182"/>
        <v>0</v>
      </c>
      <c r="K1935" s="509"/>
      <c r="L1935" s="513"/>
      <c r="M1935" s="509">
        <f t="shared" si="183"/>
        <v>0</v>
      </c>
      <c r="N1935" s="513"/>
      <c r="O1935" s="509">
        <f t="shared" si="184"/>
        <v>0</v>
      </c>
      <c r="P1935" s="509">
        <f t="shared" si="185"/>
        <v>0</v>
      </c>
      <c r="Q1935" s="471"/>
    </row>
    <row r="1936" spans="3:17">
      <c r="C1936" s="505">
        <f>IF(D1907="","-",+C1935+1)</f>
        <v>2037</v>
      </c>
      <c r="D1936" s="469">
        <f t="shared" si="186"/>
        <v>4028.6040674603182</v>
      </c>
      <c r="E1936" s="511">
        <f t="shared" si="187"/>
        <v>205.71595238095239</v>
      </c>
      <c r="F1936" s="511">
        <f t="shared" si="180"/>
        <v>3822.8881150793659</v>
      </c>
      <c r="G1936" s="469">
        <f t="shared" si="181"/>
        <v>3925.7460912698421</v>
      </c>
      <c r="H1936" s="506">
        <f>+J1908*G1936+E1936</f>
        <v>794.44543945707323</v>
      </c>
      <c r="I1936" s="512">
        <f>+J1909*G1936+E1936</f>
        <v>794.44543945707323</v>
      </c>
      <c r="J1936" s="509">
        <f t="shared" si="182"/>
        <v>0</v>
      </c>
      <c r="K1936" s="509"/>
      <c r="L1936" s="513"/>
      <c r="M1936" s="509">
        <f t="shared" si="183"/>
        <v>0</v>
      </c>
      <c r="N1936" s="513"/>
      <c r="O1936" s="509">
        <f t="shared" si="184"/>
        <v>0</v>
      </c>
      <c r="P1936" s="509">
        <f t="shared" si="185"/>
        <v>0</v>
      </c>
      <c r="Q1936" s="471"/>
    </row>
    <row r="1937" spans="3:17">
      <c r="C1937" s="505">
        <f>IF(D1907="","-",+C1936+1)</f>
        <v>2038</v>
      </c>
      <c r="D1937" s="469">
        <f t="shared" si="186"/>
        <v>3822.8881150793659</v>
      </c>
      <c r="E1937" s="511">
        <f t="shared" si="187"/>
        <v>205.71595238095239</v>
      </c>
      <c r="F1937" s="511">
        <f t="shared" si="180"/>
        <v>3617.1721626984136</v>
      </c>
      <c r="G1937" s="469">
        <f t="shared" si="181"/>
        <v>3720.0301388888897</v>
      </c>
      <c r="H1937" s="506">
        <f>+J1908*G1937+E1937</f>
        <v>763.59498598583536</v>
      </c>
      <c r="I1937" s="512">
        <f>+J1909*G1937+E1937</f>
        <v>763.59498598583536</v>
      </c>
      <c r="J1937" s="509">
        <f t="shared" si="182"/>
        <v>0</v>
      </c>
      <c r="K1937" s="509"/>
      <c r="L1937" s="513"/>
      <c r="M1937" s="509">
        <f t="shared" si="183"/>
        <v>0</v>
      </c>
      <c r="N1937" s="513"/>
      <c r="O1937" s="509">
        <f t="shared" si="184"/>
        <v>0</v>
      </c>
      <c r="P1937" s="509">
        <f t="shared" si="185"/>
        <v>0</v>
      </c>
      <c r="Q1937" s="471"/>
    </row>
    <row r="1938" spans="3:17">
      <c r="C1938" s="505">
        <f>IF(D1907="","-",+C1937+1)</f>
        <v>2039</v>
      </c>
      <c r="D1938" s="469">
        <f t="shared" si="186"/>
        <v>3617.1721626984136</v>
      </c>
      <c r="E1938" s="511">
        <f t="shared" si="187"/>
        <v>205.71595238095239</v>
      </c>
      <c r="F1938" s="511">
        <f t="shared" si="180"/>
        <v>3411.4562103174612</v>
      </c>
      <c r="G1938" s="469">
        <f t="shared" si="181"/>
        <v>3514.3141865079374</v>
      </c>
      <c r="H1938" s="506">
        <f>+J1908*G1938+E1938</f>
        <v>732.74453251459772</v>
      </c>
      <c r="I1938" s="512">
        <f>+J1909*G1938+E1938</f>
        <v>732.74453251459772</v>
      </c>
      <c r="J1938" s="509">
        <f t="shared" si="182"/>
        <v>0</v>
      </c>
      <c r="K1938" s="509"/>
      <c r="L1938" s="513"/>
      <c r="M1938" s="509">
        <f t="shared" si="183"/>
        <v>0</v>
      </c>
      <c r="N1938" s="513"/>
      <c r="O1938" s="509">
        <f t="shared" si="184"/>
        <v>0</v>
      </c>
      <c r="P1938" s="509">
        <f t="shared" si="185"/>
        <v>0</v>
      </c>
      <c r="Q1938" s="471"/>
    </row>
    <row r="1939" spans="3:17">
      <c r="C1939" s="505">
        <f>IF(D1907="","-",+C1938+1)</f>
        <v>2040</v>
      </c>
      <c r="D1939" s="469">
        <f t="shared" si="186"/>
        <v>3411.4562103174612</v>
      </c>
      <c r="E1939" s="511">
        <f t="shared" si="187"/>
        <v>205.71595238095239</v>
      </c>
      <c r="F1939" s="511">
        <f t="shared" si="180"/>
        <v>3205.7402579365089</v>
      </c>
      <c r="G1939" s="469">
        <f t="shared" si="181"/>
        <v>3308.5982341269851</v>
      </c>
      <c r="H1939" s="506">
        <f>+J1908*G1939+E1939</f>
        <v>701.89407904335985</v>
      </c>
      <c r="I1939" s="512">
        <f>+J1909*G1939+E1939</f>
        <v>701.89407904335985</v>
      </c>
      <c r="J1939" s="509">
        <f t="shared" si="182"/>
        <v>0</v>
      </c>
      <c r="K1939" s="509"/>
      <c r="L1939" s="513"/>
      <c r="M1939" s="509">
        <f t="shared" si="183"/>
        <v>0</v>
      </c>
      <c r="N1939" s="513"/>
      <c r="O1939" s="509">
        <f t="shared" si="184"/>
        <v>0</v>
      </c>
      <c r="P1939" s="509">
        <f t="shared" si="185"/>
        <v>0</v>
      </c>
      <c r="Q1939" s="471"/>
    </row>
    <row r="1940" spans="3:17">
      <c r="C1940" s="505">
        <f>IF(D1907="","-",+C1939+1)</f>
        <v>2041</v>
      </c>
      <c r="D1940" s="469">
        <f t="shared" si="186"/>
        <v>3205.7402579365089</v>
      </c>
      <c r="E1940" s="511">
        <f t="shared" si="187"/>
        <v>205.71595238095239</v>
      </c>
      <c r="F1940" s="511">
        <f t="shared" si="180"/>
        <v>3000.0243055555566</v>
      </c>
      <c r="G1940" s="469">
        <f t="shared" si="181"/>
        <v>3102.8822817460327</v>
      </c>
      <c r="H1940" s="506">
        <f>+J1908*G1940+E1940</f>
        <v>671.04362557212221</v>
      </c>
      <c r="I1940" s="512">
        <f>+J1909*G1940+E1940</f>
        <v>671.04362557212221</v>
      </c>
      <c r="J1940" s="509">
        <f t="shared" si="182"/>
        <v>0</v>
      </c>
      <c r="K1940" s="509"/>
      <c r="L1940" s="513"/>
      <c r="M1940" s="509">
        <f t="shared" si="183"/>
        <v>0</v>
      </c>
      <c r="N1940" s="513"/>
      <c r="O1940" s="509">
        <f t="shared" si="184"/>
        <v>0</v>
      </c>
      <c r="P1940" s="509">
        <f t="shared" si="185"/>
        <v>0</v>
      </c>
      <c r="Q1940" s="471"/>
    </row>
    <row r="1941" spans="3:17">
      <c r="C1941" s="505">
        <f>IF(D1907="","-",+C1940+1)</f>
        <v>2042</v>
      </c>
      <c r="D1941" s="469">
        <f t="shared" si="186"/>
        <v>3000.0243055555566</v>
      </c>
      <c r="E1941" s="511">
        <f t="shared" si="187"/>
        <v>205.71595238095239</v>
      </c>
      <c r="F1941" s="511">
        <f t="shared" si="180"/>
        <v>2794.3083531746042</v>
      </c>
      <c r="G1941" s="469">
        <f t="shared" si="181"/>
        <v>2897.1663293650804</v>
      </c>
      <c r="H1941" s="506">
        <f>+J1908*G1941+E1941</f>
        <v>640.19317210088434</v>
      </c>
      <c r="I1941" s="512">
        <f>+J1909*G1941+E1941</f>
        <v>640.19317210088434</v>
      </c>
      <c r="J1941" s="509">
        <f t="shared" si="182"/>
        <v>0</v>
      </c>
      <c r="K1941" s="509"/>
      <c r="L1941" s="513"/>
      <c r="M1941" s="509">
        <f t="shared" si="183"/>
        <v>0</v>
      </c>
      <c r="N1941" s="513"/>
      <c r="O1941" s="509">
        <f t="shared" si="184"/>
        <v>0</v>
      </c>
      <c r="P1941" s="509">
        <f t="shared" si="185"/>
        <v>0</v>
      </c>
      <c r="Q1941" s="471"/>
    </row>
    <row r="1942" spans="3:17">
      <c r="C1942" s="505">
        <f>IF(D1907="","-",+C1941+1)</f>
        <v>2043</v>
      </c>
      <c r="D1942" s="469">
        <f t="shared" si="186"/>
        <v>2794.3083531746042</v>
      </c>
      <c r="E1942" s="511">
        <f t="shared" si="187"/>
        <v>205.71595238095239</v>
      </c>
      <c r="F1942" s="511">
        <f t="shared" si="180"/>
        <v>2588.5924007936519</v>
      </c>
      <c r="G1942" s="469">
        <f t="shared" si="181"/>
        <v>2691.4503769841281</v>
      </c>
      <c r="H1942" s="506">
        <f>+J1908*G1942+E1942</f>
        <v>609.3427186296467</v>
      </c>
      <c r="I1942" s="512">
        <f>+J1909*G1942+E1942</f>
        <v>609.3427186296467</v>
      </c>
      <c r="J1942" s="509">
        <f t="shared" si="182"/>
        <v>0</v>
      </c>
      <c r="K1942" s="509"/>
      <c r="L1942" s="513"/>
      <c r="M1942" s="509">
        <f t="shared" si="183"/>
        <v>0</v>
      </c>
      <c r="N1942" s="513"/>
      <c r="O1942" s="509">
        <f t="shared" si="184"/>
        <v>0</v>
      </c>
      <c r="P1942" s="509">
        <f t="shared" si="185"/>
        <v>0</v>
      </c>
      <c r="Q1942" s="471"/>
    </row>
    <row r="1943" spans="3:17">
      <c r="C1943" s="505">
        <f>IF(D1907="","-",+C1942+1)</f>
        <v>2044</v>
      </c>
      <c r="D1943" s="469">
        <f t="shared" si="186"/>
        <v>2588.5924007936519</v>
      </c>
      <c r="E1943" s="511">
        <f t="shared" si="187"/>
        <v>205.71595238095239</v>
      </c>
      <c r="F1943" s="511">
        <f t="shared" si="180"/>
        <v>2382.8764484126996</v>
      </c>
      <c r="G1943" s="469">
        <f t="shared" si="181"/>
        <v>2485.7344246031757</v>
      </c>
      <c r="H1943" s="506">
        <f>+J1908*G1943+E1943</f>
        <v>578.49226515840883</v>
      </c>
      <c r="I1943" s="512">
        <f>+J1909*G1943+E1943</f>
        <v>578.49226515840883</v>
      </c>
      <c r="J1943" s="509">
        <f t="shared" si="182"/>
        <v>0</v>
      </c>
      <c r="K1943" s="509"/>
      <c r="L1943" s="513"/>
      <c r="M1943" s="509">
        <f t="shared" si="183"/>
        <v>0</v>
      </c>
      <c r="N1943" s="513"/>
      <c r="O1943" s="509">
        <f t="shared" si="184"/>
        <v>0</v>
      </c>
      <c r="P1943" s="509">
        <f t="shared" si="185"/>
        <v>0</v>
      </c>
      <c r="Q1943" s="471"/>
    </row>
    <row r="1944" spans="3:17">
      <c r="C1944" s="505">
        <f>IF(D1907="","-",+C1943+1)</f>
        <v>2045</v>
      </c>
      <c r="D1944" s="469">
        <f t="shared" si="186"/>
        <v>2382.8764484126996</v>
      </c>
      <c r="E1944" s="511">
        <f t="shared" si="187"/>
        <v>205.71595238095239</v>
      </c>
      <c r="F1944" s="511">
        <f t="shared" si="180"/>
        <v>2177.1604960317472</v>
      </c>
      <c r="G1944" s="469">
        <f t="shared" si="181"/>
        <v>2280.0184722222234</v>
      </c>
      <c r="H1944" s="506">
        <f>+J1908*G1944+E1944</f>
        <v>547.64181168717118</v>
      </c>
      <c r="I1944" s="512">
        <f>+J1909*G1944+E1944</f>
        <v>547.64181168717118</v>
      </c>
      <c r="J1944" s="509">
        <f t="shared" si="182"/>
        <v>0</v>
      </c>
      <c r="K1944" s="509"/>
      <c r="L1944" s="513"/>
      <c r="M1944" s="509">
        <f t="shared" si="183"/>
        <v>0</v>
      </c>
      <c r="N1944" s="513"/>
      <c r="O1944" s="509">
        <f t="shared" si="184"/>
        <v>0</v>
      </c>
      <c r="P1944" s="509">
        <f t="shared" si="185"/>
        <v>0</v>
      </c>
      <c r="Q1944" s="471"/>
    </row>
    <row r="1945" spans="3:17">
      <c r="C1945" s="505">
        <f>IF(D1907="","-",+C1944+1)</f>
        <v>2046</v>
      </c>
      <c r="D1945" s="469">
        <f t="shared" si="186"/>
        <v>2177.1604960317472</v>
      </c>
      <c r="E1945" s="511">
        <f t="shared" si="187"/>
        <v>205.71595238095239</v>
      </c>
      <c r="F1945" s="511">
        <f t="shared" si="180"/>
        <v>1971.4445436507949</v>
      </c>
      <c r="G1945" s="469">
        <f t="shared" ref="G1945:G1972" si="188">+(D1945+F1945)/2</f>
        <v>2074.3025198412711</v>
      </c>
      <c r="H1945" s="506">
        <f>+J1908*G1945+E1945</f>
        <v>516.79135821593331</v>
      </c>
      <c r="I1945" s="512">
        <f>+J1909*G1945+E1945</f>
        <v>516.79135821593331</v>
      </c>
      <c r="J1945" s="509">
        <f t="shared" ref="J1945:J1972" si="189">+I1945-H1945</f>
        <v>0</v>
      </c>
      <c r="K1945" s="509"/>
      <c r="L1945" s="513"/>
      <c r="M1945" s="509">
        <f t="shared" ref="M1945:M1972" si="190">IF(L1945&lt;&gt;0,+H1945-L1945,0)</f>
        <v>0</v>
      </c>
      <c r="N1945" s="513"/>
      <c r="O1945" s="509">
        <f t="shared" ref="O1945:O1972" si="191">IF(N1945&lt;&gt;0,+I1945-N1945,0)</f>
        <v>0</v>
      </c>
      <c r="P1945" s="509">
        <f t="shared" si="185"/>
        <v>0</v>
      </c>
      <c r="Q1945" s="471"/>
    </row>
    <row r="1946" spans="3:17">
      <c r="C1946" s="505">
        <f>IF(D1907="","-",+C1945+1)</f>
        <v>2047</v>
      </c>
      <c r="D1946" s="469">
        <f t="shared" si="186"/>
        <v>1971.4445436507949</v>
      </c>
      <c r="E1946" s="511">
        <f t="shared" si="187"/>
        <v>205.71595238095239</v>
      </c>
      <c r="F1946" s="511">
        <f t="shared" si="180"/>
        <v>1765.7285912698426</v>
      </c>
      <c r="G1946" s="469">
        <f t="shared" si="188"/>
        <v>1868.5865674603187</v>
      </c>
      <c r="H1946" s="506">
        <f>+J1908*G1946+E1946</f>
        <v>485.94090474469562</v>
      </c>
      <c r="I1946" s="512">
        <f>+J1909*G1946+E1946</f>
        <v>485.94090474469562</v>
      </c>
      <c r="J1946" s="509">
        <f t="shared" si="189"/>
        <v>0</v>
      </c>
      <c r="K1946" s="509"/>
      <c r="L1946" s="513"/>
      <c r="M1946" s="509">
        <f t="shared" si="190"/>
        <v>0</v>
      </c>
      <c r="N1946" s="513"/>
      <c r="O1946" s="509">
        <f t="shared" si="191"/>
        <v>0</v>
      </c>
      <c r="P1946" s="509">
        <f t="shared" si="185"/>
        <v>0</v>
      </c>
      <c r="Q1946" s="471"/>
    </row>
    <row r="1947" spans="3:17">
      <c r="C1947" s="505">
        <f>IF(D1907="","-",+C1946+1)</f>
        <v>2048</v>
      </c>
      <c r="D1947" s="469">
        <f t="shared" si="186"/>
        <v>1765.7285912698426</v>
      </c>
      <c r="E1947" s="511">
        <f t="shared" si="187"/>
        <v>205.71595238095239</v>
      </c>
      <c r="F1947" s="511">
        <f t="shared" si="180"/>
        <v>1560.0126388888903</v>
      </c>
      <c r="G1947" s="469">
        <f t="shared" si="188"/>
        <v>1662.8706150793664</v>
      </c>
      <c r="H1947" s="506">
        <f>+J1908*G1947+E1947</f>
        <v>455.09045127345786</v>
      </c>
      <c r="I1947" s="512">
        <f>+J1909*G1947+E1947</f>
        <v>455.09045127345786</v>
      </c>
      <c r="J1947" s="509">
        <f t="shared" si="189"/>
        <v>0</v>
      </c>
      <c r="K1947" s="509"/>
      <c r="L1947" s="513"/>
      <c r="M1947" s="509">
        <f t="shared" si="190"/>
        <v>0</v>
      </c>
      <c r="N1947" s="513"/>
      <c r="O1947" s="509">
        <f t="shared" si="191"/>
        <v>0</v>
      </c>
      <c r="P1947" s="509">
        <f t="shared" si="185"/>
        <v>0</v>
      </c>
      <c r="Q1947" s="471"/>
    </row>
    <row r="1948" spans="3:17">
      <c r="C1948" s="505">
        <f>IF(D1907="","-",+C1947+1)</f>
        <v>2049</v>
      </c>
      <c r="D1948" s="469">
        <f t="shared" si="186"/>
        <v>1560.0126388888903</v>
      </c>
      <c r="E1948" s="511">
        <f t="shared" si="187"/>
        <v>205.71595238095239</v>
      </c>
      <c r="F1948" s="511">
        <f t="shared" si="180"/>
        <v>1354.2966865079379</v>
      </c>
      <c r="G1948" s="469">
        <f t="shared" si="188"/>
        <v>1457.1546626984141</v>
      </c>
      <c r="H1948" s="506">
        <f>+J1908*G1948+E1948</f>
        <v>424.2399978022201</v>
      </c>
      <c r="I1948" s="512">
        <f>+J1909*G1948+E1948</f>
        <v>424.2399978022201</v>
      </c>
      <c r="J1948" s="509">
        <f t="shared" si="189"/>
        <v>0</v>
      </c>
      <c r="K1948" s="509"/>
      <c r="L1948" s="513"/>
      <c r="M1948" s="509">
        <f t="shared" si="190"/>
        <v>0</v>
      </c>
      <c r="N1948" s="513"/>
      <c r="O1948" s="509">
        <f t="shared" si="191"/>
        <v>0</v>
      </c>
      <c r="P1948" s="509">
        <f t="shared" si="185"/>
        <v>0</v>
      </c>
      <c r="Q1948" s="471"/>
    </row>
    <row r="1949" spans="3:17">
      <c r="C1949" s="505">
        <f>IF(D1907="","-",+C1948+1)</f>
        <v>2050</v>
      </c>
      <c r="D1949" s="469">
        <f t="shared" si="186"/>
        <v>1354.2966865079379</v>
      </c>
      <c r="E1949" s="511">
        <f t="shared" si="187"/>
        <v>205.71595238095239</v>
      </c>
      <c r="F1949" s="511">
        <f t="shared" si="180"/>
        <v>1148.5807341269856</v>
      </c>
      <c r="G1949" s="469">
        <f t="shared" si="188"/>
        <v>1251.4387103174618</v>
      </c>
      <c r="H1949" s="506">
        <f>+J1908*G1949+E1949</f>
        <v>393.38954433098235</v>
      </c>
      <c r="I1949" s="512">
        <f>+J1909*G1949+E1949</f>
        <v>393.38954433098235</v>
      </c>
      <c r="J1949" s="509">
        <f t="shared" si="189"/>
        <v>0</v>
      </c>
      <c r="K1949" s="509"/>
      <c r="L1949" s="513"/>
      <c r="M1949" s="509">
        <f t="shared" si="190"/>
        <v>0</v>
      </c>
      <c r="N1949" s="513"/>
      <c r="O1949" s="509">
        <f t="shared" si="191"/>
        <v>0</v>
      </c>
      <c r="P1949" s="509">
        <f t="shared" si="185"/>
        <v>0</v>
      </c>
      <c r="Q1949" s="471"/>
    </row>
    <row r="1950" spans="3:17">
      <c r="C1950" s="505">
        <f>IF(D1907="","-",+C1949+1)</f>
        <v>2051</v>
      </c>
      <c r="D1950" s="469">
        <f t="shared" si="186"/>
        <v>1148.5807341269856</v>
      </c>
      <c r="E1950" s="511">
        <f t="shared" si="187"/>
        <v>205.71595238095239</v>
      </c>
      <c r="F1950" s="511">
        <f t="shared" si="180"/>
        <v>942.86478174603326</v>
      </c>
      <c r="G1950" s="469">
        <f t="shared" si="188"/>
        <v>1045.7227579365094</v>
      </c>
      <c r="H1950" s="506">
        <f>+J1908*G1950+E1950</f>
        <v>362.53909085974459</v>
      </c>
      <c r="I1950" s="512">
        <f>+J1909*G1950+E1950</f>
        <v>362.53909085974459</v>
      </c>
      <c r="J1950" s="509">
        <f t="shared" si="189"/>
        <v>0</v>
      </c>
      <c r="K1950" s="509"/>
      <c r="L1950" s="513"/>
      <c r="M1950" s="509">
        <f t="shared" si="190"/>
        <v>0</v>
      </c>
      <c r="N1950" s="513"/>
      <c r="O1950" s="509">
        <f t="shared" si="191"/>
        <v>0</v>
      </c>
      <c r="P1950" s="509">
        <f t="shared" si="185"/>
        <v>0</v>
      </c>
      <c r="Q1950" s="471"/>
    </row>
    <row r="1951" spans="3:17">
      <c r="C1951" s="505">
        <f>IF(D1907="","-",+C1950+1)</f>
        <v>2052</v>
      </c>
      <c r="D1951" s="469">
        <f t="shared" si="186"/>
        <v>942.86478174603326</v>
      </c>
      <c r="E1951" s="511">
        <f t="shared" si="187"/>
        <v>205.71595238095239</v>
      </c>
      <c r="F1951" s="511">
        <f t="shared" si="180"/>
        <v>737.14882936508093</v>
      </c>
      <c r="G1951" s="469">
        <f t="shared" si="188"/>
        <v>840.00680555555709</v>
      </c>
      <c r="H1951" s="506">
        <f>+J1908*G1951+E1951</f>
        <v>331.68863738850683</v>
      </c>
      <c r="I1951" s="512">
        <f>+J1909*G1951+E1951</f>
        <v>331.68863738850683</v>
      </c>
      <c r="J1951" s="509">
        <f t="shared" si="189"/>
        <v>0</v>
      </c>
      <c r="K1951" s="509"/>
      <c r="L1951" s="513"/>
      <c r="M1951" s="509">
        <f t="shared" si="190"/>
        <v>0</v>
      </c>
      <c r="N1951" s="513"/>
      <c r="O1951" s="509">
        <f t="shared" si="191"/>
        <v>0</v>
      </c>
      <c r="P1951" s="509">
        <f t="shared" si="185"/>
        <v>0</v>
      </c>
      <c r="Q1951" s="471"/>
    </row>
    <row r="1952" spans="3:17">
      <c r="C1952" s="505">
        <f>IF(D1907="","-",+C1951+1)</f>
        <v>2053</v>
      </c>
      <c r="D1952" s="469">
        <f t="shared" si="186"/>
        <v>737.14882936508093</v>
      </c>
      <c r="E1952" s="511">
        <f t="shared" si="187"/>
        <v>205.71595238095239</v>
      </c>
      <c r="F1952" s="511">
        <f t="shared" si="180"/>
        <v>531.4328769841286</v>
      </c>
      <c r="G1952" s="469">
        <f t="shared" si="188"/>
        <v>634.29085317460476</v>
      </c>
      <c r="H1952" s="506">
        <f>+J1908*G1952+E1952</f>
        <v>300.83818391726908</v>
      </c>
      <c r="I1952" s="512">
        <f>+J1909*G1952+E1952</f>
        <v>300.83818391726908</v>
      </c>
      <c r="J1952" s="509">
        <f t="shared" si="189"/>
        <v>0</v>
      </c>
      <c r="K1952" s="509"/>
      <c r="L1952" s="513"/>
      <c r="M1952" s="509">
        <f t="shared" si="190"/>
        <v>0</v>
      </c>
      <c r="N1952" s="513"/>
      <c r="O1952" s="509">
        <f t="shared" si="191"/>
        <v>0</v>
      </c>
      <c r="P1952" s="509">
        <f t="shared" si="185"/>
        <v>0</v>
      </c>
      <c r="Q1952" s="471"/>
    </row>
    <row r="1953" spans="3:17">
      <c r="C1953" s="505">
        <f>IF(D1907="","-",+C1952+1)</f>
        <v>2054</v>
      </c>
      <c r="D1953" s="469">
        <f t="shared" si="186"/>
        <v>531.4328769841286</v>
      </c>
      <c r="E1953" s="511">
        <f t="shared" si="187"/>
        <v>205.71595238095239</v>
      </c>
      <c r="F1953" s="511">
        <f t="shared" si="180"/>
        <v>325.71692460317621</v>
      </c>
      <c r="G1953" s="469">
        <f t="shared" si="188"/>
        <v>428.57490079365243</v>
      </c>
      <c r="H1953" s="506">
        <f>+J1908*G1953+E1953</f>
        <v>269.98773044603132</v>
      </c>
      <c r="I1953" s="512">
        <f>+J1909*G1953+E1953</f>
        <v>269.98773044603132</v>
      </c>
      <c r="J1953" s="509">
        <f t="shared" si="189"/>
        <v>0</v>
      </c>
      <c r="K1953" s="509"/>
      <c r="L1953" s="513"/>
      <c r="M1953" s="509">
        <f t="shared" si="190"/>
        <v>0</v>
      </c>
      <c r="N1953" s="513"/>
      <c r="O1953" s="509">
        <f t="shared" si="191"/>
        <v>0</v>
      </c>
      <c r="P1953" s="509">
        <f t="shared" si="185"/>
        <v>0</v>
      </c>
      <c r="Q1953" s="471"/>
    </row>
    <row r="1954" spans="3:17">
      <c r="C1954" s="505">
        <f>IF(D1907="","-",+C1953+1)</f>
        <v>2055</v>
      </c>
      <c r="D1954" s="469">
        <f t="shared" si="186"/>
        <v>325.71692460317621</v>
      </c>
      <c r="E1954" s="511">
        <f t="shared" si="187"/>
        <v>205.71595238095239</v>
      </c>
      <c r="F1954" s="511">
        <f t="shared" si="180"/>
        <v>120.00097222222382</v>
      </c>
      <c r="G1954" s="469">
        <f t="shared" si="188"/>
        <v>222.85894841270002</v>
      </c>
      <c r="H1954" s="506">
        <f>+J1908*G1954+E1954</f>
        <v>239.13727697479354</v>
      </c>
      <c r="I1954" s="512">
        <f>+J1909*G1954+E1954</f>
        <v>239.13727697479354</v>
      </c>
      <c r="J1954" s="509">
        <f t="shared" si="189"/>
        <v>0</v>
      </c>
      <c r="K1954" s="509"/>
      <c r="L1954" s="513"/>
      <c r="M1954" s="509">
        <f t="shared" si="190"/>
        <v>0</v>
      </c>
      <c r="N1954" s="513"/>
      <c r="O1954" s="509">
        <f t="shared" si="191"/>
        <v>0</v>
      </c>
      <c r="P1954" s="509">
        <f t="shared" si="185"/>
        <v>0</v>
      </c>
      <c r="Q1954" s="471"/>
    </row>
    <row r="1955" spans="3:17">
      <c r="C1955" s="505">
        <f>IF(D1907="","-",+C1954+1)</f>
        <v>2056</v>
      </c>
      <c r="D1955" s="469">
        <f t="shared" si="186"/>
        <v>120.00097222222382</v>
      </c>
      <c r="E1955" s="511">
        <f t="shared" si="187"/>
        <v>120.00097222222382</v>
      </c>
      <c r="F1955" s="511">
        <f t="shared" si="180"/>
        <v>0</v>
      </c>
      <c r="G1955" s="469">
        <f t="shared" si="188"/>
        <v>60.000486111111911</v>
      </c>
      <c r="H1955" s="506">
        <f>+J1908*G1955+E1955</f>
        <v>128.99902115133494</v>
      </c>
      <c r="I1955" s="512">
        <f>+J1909*G1955+E1955</f>
        <v>128.99902115133494</v>
      </c>
      <c r="J1955" s="509">
        <f t="shared" si="189"/>
        <v>0</v>
      </c>
      <c r="K1955" s="509"/>
      <c r="L1955" s="513"/>
      <c r="M1955" s="509">
        <f t="shared" si="190"/>
        <v>0</v>
      </c>
      <c r="N1955" s="513"/>
      <c r="O1955" s="509">
        <f t="shared" si="191"/>
        <v>0</v>
      </c>
      <c r="P1955" s="509">
        <f t="shared" si="185"/>
        <v>0</v>
      </c>
      <c r="Q1955" s="471"/>
    </row>
    <row r="1956" spans="3:17">
      <c r="C1956" s="505">
        <f>IF(D1907="","-",+C1955+1)</f>
        <v>2057</v>
      </c>
      <c r="D1956" s="469">
        <f t="shared" si="186"/>
        <v>0</v>
      </c>
      <c r="E1956" s="511">
        <f t="shared" si="187"/>
        <v>0</v>
      </c>
      <c r="F1956" s="511">
        <f t="shared" si="180"/>
        <v>0</v>
      </c>
      <c r="G1956" s="469">
        <f t="shared" si="188"/>
        <v>0</v>
      </c>
      <c r="H1956" s="506">
        <f>+J1908*G1956+E1956</f>
        <v>0</v>
      </c>
      <c r="I1956" s="512">
        <f>+J1909*G1956+E1956</f>
        <v>0</v>
      </c>
      <c r="J1956" s="509">
        <f t="shared" si="189"/>
        <v>0</v>
      </c>
      <c r="K1956" s="509"/>
      <c r="L1956" s="513"/>
      <c r="M1956" s="509">
        <f t="shared" si="190"/>
        <v>0</v>
      </c>
      <c r="N1956" s="513"/>
      <c r="O1956" s="509">
        <f t="shared" si="191"/>
        <v>0</v>
      </c>
      <c r="P1956" s="509">
        <f t="shared" si="185"/>
        <v>0</v>
      </c>
      <c r="Q1956" s="471"/>
    </row>
    <row r="1957" spans="3:17">
      <c r="C1957" s="505">
        <f>IF(D1907="","-",+C1956+1)</f>
        <v>2058</v>
      </c>
      <c r="D1957" s="469">
        <f t="shared" si="186"/>
        <v>0</v>
      </c>
      <c r="E1957" s="511">
        <f t="shared" si="187"/>
        <v>0</v>
      </c>
      <c r="F1957" s="511">
        <f t="shared" si="180"/>
        <v>0</v>
      </c>
      <c r="G1957" s="469">
        <f t="shared" si="188"/>
        <v>0</v>
      </c>
      <c r="H1957" s="506">
        <f>+J1908*G1957+E1957</f>
        <v>0</v>
      </c>
      <c r="I1957" s="512">
        <f>+J1909*G1957+E1957</f>
        <v>0</v>
      </c>
      <c r="J1957" s="509">
        <f t="shared" si="189"/>
        <v>0</v>
      </c>
      <c r="K1957" s="509"/>
      <c r="L1957" s="513"/>
      <c r="M1957" s="509">
        <f t="shared" si="190"/>
        <v>0</v>
      </c>
      <c r="N1957" s="513"/>
      <c r="O1957" s="509">
        <f t="shared" si="191"/>
        <v>0</v>
      </c>
      <c r="P1957" s="509">
        <f t="shared" si="185"/>
        <v>0</v>
      </c>
      <c r="Q1957" s="471"/>
    </row>
    <row r="1958" spans="3:17">
      <c r="C1958" s="505">
        <f>IF(D1907="","-",+C1957+1)</f>
        <v>2059</v>
      </c>
      <c r="D1958" s="469">
        <f t="shared" si="186"/>
        <v>0</v>
      </c>
      <c r="E1958" s="511">
        <f t="shared" si="187"/>
        <v>0</v>
      </c>
      <c r="F1958" s="511">
        <f t="shared" si="180"/>
        <v>0</v>
      </c>
      <c r="G1958" s="469">
        <f t="shared" si="188"/>
        <v>0</v>
      </c>
      <c r="H1958" s="506">
        <f>+J1908*G1958+E1958</f>
        <v>0</v>
      </c>
      <c r="I1958" s="512">
        <f>+J1909*G1958+E1958</f>
        <v>0</v>
      </c>
      <c r="J1958" s="509">
        <f t="shared" si="189"/>
        <v>0</v>
      </c>
      <c r="K1958" s="509"/>
      <c r="L1958" s="513"/>
      <c r="M1958" s="509">
        <f t="shared" si="190"/>
        <v>0</v>
      </c>
      <c r="N1958" s="513"/>
      <c r="O1958" s="509">
        <f t="shared" si="191"/>
        <v>0</v>
      </c>
      <c r="P1958" s="509">
        <f t="shared" si="185"/>
        <v>0</v>
      </c>
      <c r="Q1958" s="471"/>
    </row>
    <row r="1959" spans="3:17">
      <c r="C1959" s="505">
        <f>IF(D1907="","-",+C1958+1)</f>
        <v>2060</v>
      </c>
      <c r="D1959" s="469">
        <f t="shared" si="186"/>
        <v>0</v>
      </c>
      <c r="E1959" s="511">
        <f t="shared" si="187"/>
        <v>0</v>
      </c>
      <c r="F1959" s="511">
        <f t="shared" si="180"/>
        <v>0</v>
      </c>
      <c r="G1959" s="469">
        <f t="shared" si="188"/>
        <v>0</v>
      </c>
      <c r="H1959" s="506">
        <f>+J1908*G1959+E1959</f>
        <v>0</v>
      </c>
      <c r="I1959" s="512">
        <f>+J1909*G1959+E1959</f>
        <v>0</v>
      </c>
      <c r="J1959" s="509">
        <f t="shared" si="189"/>
        <v>0</v>
      </c>
      <c r="K1959" s="509"/>
      <c r="L1959" s="513"/>
      <c r="M1959" s="509">
        <f t="shared" si="190"/>
        <v>0</v>
      </c>
      <c r="N1959" s="513"/>
      <c r="O1959" s="509">
        <f t="shared" si="191"/>
        <v>0</v>
      </c>
      <c r="P1959" s="509">
        <f t="shared" si="185"/>
        <v>0</v>
      </c>
      <c r="Q1959" s="471"/>
    </row>
    <row r="1960" spans="3:17">
      <c r="C1960" s="505">
        <f>IF(D1907="","-",+C1959+1)</f>
        <v>2061</v>
      </c>
      <c r="D1960" s="469">
        <f t="shared" si="186"/>
        <v>0</v>
      </c>
      <c r="E1960" s="511">
        <f t="shared" si="187"/>
        <v>0</v>
      </c>
      <c r="F1960" s="511">
        <f t="shared" si="180"/>
        <v>0</v>
      </c>
      <c r="G1960" s="469">
        <f t="shared" si="188"/>
        <v>0</v>
      </c>
      <c r="H1960" s="506">
        <f>+J1908*G1960+E1960</f>
        <v>0</v>
      </c>
      <c r="I1960" s="512">
        <f>+J1909*G1960+E1960</f>
        <v>0</v>
      </c>
      <c r="J1960" s="509">
        <f t="shared" si="189"/>
        <v>0</v>
      </c>
      <c r="K1960" s="509"/>
      <c r="L1960" s="513"/>
      <c r="M1960" s="509">
        <f t="shared" si="190"/>
        <v>0</v>
      </c>
      <c r="N1960" s="513"/>
      <c r="O1960" s="509">
        <f t="shared" si="191"/>
        <v>0</v>
      </c>
      <c r="P1960" s="509">
        <f t="shared" si="185"/>
        <v>0</v>
      </c>
      <c r="Q1960" s="471"/>
    </row>
    <row r="1961" spans="3:17">
      <c r="C1961" s="505">
        <f>IF(D1907="","-",+C1960+1)</f>
        <v>2062</v>
      </c>
      <c r="D1961" s="469">
        <f t="shared" si="186"/>
        <v>0</v>
      </c>
      <c r="E1961" s="511">
        <f t="shared" si="187"/>
        <v>0</v>
      </c>
      <c r="F1961" s="511">
        <f t="shared" si="180"/>
        <v>0</v>
      </c>
      <c r="G1961" s="469">
        <f t="shared" si="188"/>
        <v>0</v>
      </c>
      <c r="H1961" s="506">
        <f>+J1908*G1961+E1961</f>
        <v>0</v>
      </c>
      <c r="I1961" s="512">
        <f>+J1909*G1961+E1961</f>
        <v>0</v>
      </c>
      <c r="J1961" s="509">
        <f t="shared" si="189"/>
        <v>0</v>
      </c>
      <c r="K1961" s="509"/>
      <c r="L1961" s="513"/>
      <c r="M1961" s="509">
        <f t="shared" si="190"/>
        <v>0</v>
      </c>
      <c r="N1961" s="513"/>
      <c r="O1961" s="509">
        <f t="shared" si="191"/>
        <v>0</v>
      </c>
      <c r="P1961" s="509">
        <f t="shared" si="185"/>
        <v>0</v>
      </c>
      <c r="Q1961" s="471"/>
    </row>
    <row r="1962" spans="3:17">
      <c r="C1962" s="505">
        <f>IF(D1907="","-",+C1961+1)</f>
        <v>2063</v>
      </c>
      <c r="D1962" s="469">
        <f t="shared" si="186"/>
        <v>0</v>
      </c>
      <c r="E1962" s="511">
        <f t="shared" si="187"/>
        <v>0</v>
      </c>
      <c r="F1962" s="511">
        <f t="shared" si="180"/>
        <v>0</v>
      </c>
      <c r="G1962" s="469">
        <f t="shared" si="188"/>
        <v>0</v>
      </c>
      <c r="H1962" s="506">
        <f>+J1908*G1962+E1962</f>
        <v>0</v>
      </c>
      <c r="I1962" s="512">
        <f>+J1909*G1962+E1962</f>
        <v>0</v>
      </c>
      <c r="J1962" s="509">
        <f t="shared" si="189"/>
        <v>0</v>
      </c>
      <c r="K1962" s="509"/>
      <c r="L1962" s="513"/>
      <c r="M1962" s="509">
        <f t="shared" si="190"/>
        <v>0</v>
      </c>
      <c r="N1962" s="513"/>
      <c r="O1962" s="509">
        <f t="shared" si="191"/>
        <v>0</v>
      </c>
      <c r="P1962" s="509">
        <f t="shared" si="185"/>
        <v>0</v>
      </c>
      <c r="Q1962" s="471"/>
    </row>
    <row r="1963" spans="3:17">
      <c r="C1963" s="505">
        <f>IF(D1907="","-",+C1962+1)</f>
        <v>2064</v>
      </c>
      <c r="D1963" s="469">
        <f t="shared" si="186"/>
        <v>0</v>
      </c>
      <c r="E1963" s="511">
        <f t="shared" si="187"/>
        <v>0</v>
      </c>
      <c r="F1963" s="511">
        <f t="shared" si="180"/>
        <v>0</v>
      </c>
      <c r="G1963" s="469">
        <f t="shared" si="188"/>
        <v>0</v>
      </c>
      <c r="H1963" s="506">
        <f>+J1908*G1963+E1963</f>
        <v>0</v>
      </c>
      <c r="I1963" s="512">
        <f>+J1909*G1963+E1963</f>
        <v>0</v>
      </c>
      <c r="J1963" s="509">
        <f t="shared" si="189"/>
        <v>0</v>
      </c>
      <c r="K1963" s="509"/>
      <c r="L1963" s="513"/>
      <c r="M1963" s="509">
        <f t="shared" si="190"/>
        <v>0</v>
      </c>
      <c r="N1963" s="513"/>
      <c r="O1963" s="509">
        <f t="shared" si="191"/>
        <v>0</v>
      </c>
      <c r="P1963" s="509">
        <f t="shared" si="185"/>
        <v>0</v>
      </c>
      <c r="Q1963" s="471"/>
    </row>
    <row r="1964" spans="3:17">
      <c r="C1964" s="505">
        <f>IF(D1907="","-",+C1963+1)</f>
        <v>2065</v>
      </c>
      <c r="D1964" s="469">
        <f t="shared" si="186"/>
        <v>0</v>
      </c>
      <c r="E1964" s="511">
        <f t="shared" si="187"/>
        <v>0</v>
      </c>
      <c r="F1964" s="511">
        <f t="shared" si="180"/>
        <v>0</v>
      </c>
      <c r="G1964" s="469">
        <f t="shared" si="188"/>
        <v>0</v>
      </c>
      <c r="H1964" s="506">
        <f>+J1908*G1964+E1964</f>
        <v>0</v>
      </c>
      <c r="I1964" s="512">
        <f>+J1909*G1964+E1964</f>
        <v>0</v>
      </c>
      <c r="J1964" s="509">
        <f t="shared" si="189"/>
        <v>0</v>
      </c>
      <c r="K1964" s="509"/>
      <c r="L1964" s="513"/>
      <c r="M1964" s="509">
        <f t="shared" si="190"/>
        <v>0</v>
      </c>
      <c r="N1964" s="513"/>
      <c r="O1964" s="509">
        <f t="shared" si="191"/>
        <v>0</v>
      </c>
      <c r="P1964" s="509">
        <f t="shared" si="185"/>
        <v>0</v>
      </c>
      <c r="Q1964" s="471"/>
    </row>
    <row r="1965" spans="3:17">
      <c r="C1965" s="505">
        <f>IF(D1907="","-",+C1964+1)</f>
        <v>2066</v>
      </c>
      <c r="D1965" s="469">
        <f t="shared" si="186"/>
        <v>0</v>
      </c>
      <c r="E1965" s="511">
        <f t="shared" si="187"/>
        <v>0</v>
      </c>
      <c r="F1965" s="511">
        <f t="shared" si="180"/>
        <v>0</v>
      </c>
      <c r="G1965" s="469">
        <f t="shared" si="188"/>
        <v>0</v>
      </c>
      <c r="H1965" s="506">
        <f>+J1908*G1965+E1965</f>
        <v>0</v>
      </c>
      <c r="I1965" s="512">
        <f>+J1909*G1965+E1965</f>
        <v>0</v>
      </c>
      <c r="J1965" s="509">
        <f t="shared" si="189"/>
        <v>0</v>
      </c>
      <c r="K1965" s="509"/>
      <c r="L1965" s="513"/>
      <c r="M1965" s="509">
        <f t="shared" si="190"/>
        <v>0</v>
      </c>
      <c r="N1965" s="513"/>
      <c r="O1965" s="509">
        <f t="shared" si="191"/>
        <v>0</v>
      </c>
      <c r="P1965" s="509">
        <f t="shared" si="185"/>
        <v>0</v>
      </c>
      <c r="Q1965" s="471"/>
    </row>
    <row r="1966" spans="3:17">
      <c r="C1966" s="505">
        <f>IF(D1907="","-",+C1965+1)</f>
        <v>2067</v>
      </c>
      <c r="D1966" s="469">
        <f t="shared" si="186"/>
        <v>0</v>
      </c>
      <c r="E1966" s="511">
        <f t="shared" si="187"/>
        <v>0</v>
      </c>
      <c r="F1966" s="511">
        <f t="shared" si="180"/>
        <v>0</v>
      </c>
      <c r="G1966" s="469">
        <f t="shared" si="188"/>
        <v>0</v>
      </c>
      <c r="H1966" s="506">
        <f>+J1908*G1966+E1966</f>
        <v>0</v>
      </c>
      <c r="I1966" s="512">
        <f>+J1909*G1966+E1966</f>
        <v>0</v>
      </c>
      <c r="J1966" s="509">
        <f t="shared" si="189"/>
        <v>0</v>
      </c>
      <c r="K1966" s="509"/>
      <c r="L1966" s="513"/>
      <c r="M1966" s="509">
        <f t="shared" si="190"/>
        <v>0</v>
      </c>
      <c r="N1966" s="513"/>
      <c r="O1966" s="509">
        <f t="shared" si="191"/>
        <v>0</v>
      </c>
      <c r="P1966" s="509">
        <f t="shared" si="185"/>
        <v>0</v>
      </c>
      <c r="Q1966" s="471"/>
    </row>
    <row r="1967" spans="3:17">
      <c r="C1967" s="505">
        <f>IF(D1907="","-",+C1966+1)</f>
        <v>2068</v>
      </c>
      <c r="D1967" s="469">
        <f t="shared" si="186"/>
        <v>0</v>
      </c>
      <c r="E1967" s="511">
        <f t="shared" si="187"/>
        <v>0</v>
      </c>
      <c r="F1967" s="511">
        <f t="shared" si="180"/>
        <v>0</v>
      </c>
      <c r="G1967" s="469">
        <f t="shared" si="188"/>
        <v>0</v>
      </c>
      <c r="H1967" s="506">
        <f>+J1908*G1967+E1967</f>
        <v>0</v>
      </c>
      <c r="I1967" s="512">
        <f>+J1909*G1967+E1967</f>
        <v>0</v>
      </c>
      <c r="J1967" s="509">
        <f t="shared" si="189"/>
        <v>0</v>
      </c>
      <c r="K1967" s="509"/>
      <c r="L1967" s="513"/>
      <c r="M1967" s="509">
        <f t="shared" si="190"/>
        <v>0</v>
      </c>
      <c r="N1967" s="513"/>
      <c r="O1967" s="509">
        <f t="shared" si="191"/>
        <v>0</v>
      </c>
      <c r="P1967" s="509">
        <f t="shared" si="185"/>
        <v>0</v>
      </c>
      <c r="Q1967" s="471"/>
    </row>
    <row r="1968" spans="3:17">
      <c r="C1968" s="505">
        <f>IF(D1907="","-",+C1967+1)</f>
        <v>2069</v>
      </c>
      <c r="D1968" s="469">
        <f t="shared" si="186"/>
        <v>0</v>
      </c>
      <c r="E1968" s="511">
        <f t="shared" si="187"/>
        <v>0</v>
      </c>
      <c r="F1968" s="511">
        <f t="shared" si="180"/>
        <v>0</v>
      </c>
      <c r="G1968" s="469">
        <f t="shared" si="188"/>
        <v>0</v>
      </c>
      <c r="H1968" s="506">
        <f>+J1908*G1968+E1968</f>
        <v>0</v>
      </c>
      <c r="I1968" s="512">
        <f>+J1909*G1968+E1968</f>
        <v>0</v>
      </c>
      <c r="J1968" s="509">
        <f t="shared" si="189"/>
        <v>0</v>
      </c>
      <c r="K1968" s="509"/>
      <c r="L1968" s="513"/>
      <c r="M1968" s="509">
        <f t="shared" si="190"/>
        <v>0</v>
      </c>
      <c r="N1968" s="513"/>
      <c r="O1968" s="509">
        <f t="shared" si="191"/>
        <v>0</v>
      </c>
      <c r="P1968" s="509">
        <f t="shared" si="185"/>
        <v>0</v>
      </c>
      <c r="Q1968" s="471"/>
    </row>
    <row r="1969" spans="1:17">
      <c r="C1969" s="505">
        <f>IF(D1907="","-",+C1968+1)</f>
        <v>2070</v>
      </c>
      <c r="D1969" s="469">
        <f t="shared" si="186"/>
        <v>0</v>
      </c>
      <c r="E1969" s="511">
        <f t="shared" si="187"/>
        <v>0</v>
      </c>
      <c r="F1969" s="511">
        <f t="shared" si="180"/>
        <v>0</v>
      </c>
      <c r="G1969" s="469">
        <f t="shared" si="188"/>
        <v>0</v>
      </c>
      <c r="H1969" s="506">
        <f>+J1908*G1969+E1969</f>
        <v>0</v>
      </c>
      <c r="I1969" s="512">
        <f>+J1909*G1969+E1969</f>
        <v>0</v>
      </c>
      <c r="J1969" s="509">
        <f t="shared" si="189"/>
        <v>0</v>
      </c>
      <c r="K1969" s="509"/>
      <c r="L1969" s="513"/>
      <c r="M1969" s="509">
        <f t="shared" si="190"/>
        <v>0</v>
      </c>
      <c r="N1969" s="513"/>
      <c r="O1969" s="509">
        <f t="shared" si="191"/>
        <v>0</v>
      </c>
      <c r="P1969" s="509">
        <f t="shared" si="185"/>
        <v>0</v>
      </c>
      <c r="Q1969" s="471"/>
    </row>
    <row r="1970" spans="1:17">
      <c r="C1970" s="505">
        <f>IF(D1907="","-",+C1969+1)</f>
        <v>2071</v>
      </c>
      <c r="D1970" s="469">
        <f t="shared" si="186"/>
        <v>0</v>
      </c>
      <c r="E1970" s="511">
        <f t="shared" si="187"/>
        <v>0</v>
      </c>
      <c r="F1970" s="511">
        <f t="shared" si="180"/>
        <v>0</v>
      </c>
      <c r="G1970" s="469">
        <f t="shared" si="188"/>
        <v>0</v>
      </c>
      <c r="H1970" s="506">
        <f>+J1908*G1970+E1970</f>
        <v>0</v>
      </c>
      <c r="I1970" s="512">
        <f>+J1909*G1970+E1970</f>
        <v>0</v>
      </c>
      <c r="J1970" s="509">
        <f t="shared" si="189"/>
        <v>0</v>
      </c>
      <c r="K1970" s="509"/>
      <c r="L1970" s="513"/>
      <c r="M1970" s="509">
        <f t="shared" si="190"/>
        <v>0</v>
      </c>
      <c r="N1970" s="513"/>
      <c r="O1970" s="509">
        <f t="shared" si="191"/>
        <v>0</v>
      </c>
      <c r="P1970" s="509">
        <f t="shared" si="185"/>
        <v>0</v>
      </c>
      <c r="Q1970" s="471"/>
    </row>
    <row r="1971" spans="1:17">
      <c r="C1971" s="505">
        <f>IF(D1907="","-",+C1970+1)</f>
        <v>2072</v>
      </c>
      <c r="D1971" s="469">
        <f t="shared" si="186"/>
        <v>0</v>
      </c>
      <c r="E1971" s="511">
        <f t="shared" si="187"/>
        <v>0</v>
      </c>
      <c r="F1971" s="511">
        <f t="shared" si="180"/>
        <v>0</v>
      </c>
      <c r="G1971" s="469">
        <f t="shared" si="188"/>
        <v>0</v>
      </c>
      <c r="H1971" s="506">
        <f>+J1908*G1971+E1971</f>
        <v>0</v>
      </c>
      <c r="I1971" s="512">
        <f>+J1909*G1971+E1971</f>
        <v>0</v>
      </c>
      <c r="J1971" s="509">
        <f t="shared" si="189"/>
        <v>0</v>
      </c>
      <c r="K1971" s="509"/>
      <c r="L1971" s="513"/>
      <c r="M1971" s="509">
        <f t="shared" si="190"/>
        <v>0</v>
      </c>
      <c r="N1971" s="513"/>
      <c r="O1971" s="509">
        <f t="shared" si="191"/>
        <v>0</v>
      </c>
      <c r="P1971" s="509">
        <f t="shared" si="185"/>
        <v>0</v>
      </c>
      <c r="Q1971" s="471"/>
    </row>
    <row r="1972" spans="1:17" ht="13.5" thickBot="1">
      <c r="C1972" s="515">
        <f>IF(D1907="","-",+C1971+1)</f>
        <v>2073</v>
      </c>
      <c r="D1972" s="516">
        <f t="shared" si="186"/>
        <v>0</v>
      </c>
      <c r="E1972" s="976">
        <f t="shared" si="187"/>
        <v>0</v>
      </c>
      <c r="F1972" s="517">
        <f t="shared" si="180"/>
        <v>0</v>
      </c>
      <c r="G1972" s="516">
        <f t="shared" si="188"/>
        <v>0</v>
      </c>
      <c r="H1972" s="518">
        <f>+J1908*G1972+E1972</f>
        <v>0</v>
      </c>
      <c r="I1972" s="518">
        <f>+J1909*G1972+E1972</f>
        <v>0</v>
      </c>
      <c r="J1972" s="519">
        <f t="shared" si="189"/>
        <v>0</v>
      </c>
      <c r="K1972" s="509"/>
      <c r="L1972" s="520"/>
      <c r="M1972" s="519">
        <f t="shared" si="190"/>
        <v>0</v>
      </c>
      <c r="N1972" s="520"/>
      <c r="O1972" s="519">
        <f t="shared" si="191"/>
        <v>0</v>
      </c>
      <c r="P1972" s="519">
        <f t="shared" si="185"/>
        <v>0</v>
      </c>
      <c r="Q1972" s="471"/>
    </row>
    <row r="1973" spans="1:17">
      <c r="C1973" s="469" t="s">
        <v>288</v>
      </c>
      <c r="D1973" s="467"/>
      <c r="E1973" s="467">
        <f>SUM(E1913:E1972)</f>
        <v>8640.0700000000015</v>
      </c>
      <c r="F1973" s="467"/>
      <c r="G1973" s="467"/>
      <c r="H1973" s="467">
        <f>SUM(H1913:H1972)</f>
        <v>36606.006071677039</v>
      </c>
      <c r="I1973" s="467">
        <f>SUM(I1913:I1972)</f>
        <v>36606.006071677039</v>
      </c>
      <c r="J1973" s="467">
        <f>SUM(J1913:J1972)</f>
        <v>0</v>
      </c>
      <c r="K1973" s="467"/>
      <c r="L1973" s="467"/>
      <c r="M1973" s="467"/>
      <c r="N1973" s="467"/>
      <c r="O1973" s="467"/>
      <c r="Q1973" s="467"/>
    </row>
    <row r="1974" spans="1:17">
      <c r="D1974" s="79"/>
      <c r="E1974" s="4"/>
      <c r="F1974" s="4"/>
      <c r="G1974" s="4"/>
      <c r="H1974" s="4"/>
      <c r="I1974" s="452"/>
      <c r="J1974" s="452"/>
      <c r="K1974" s="467"/>
      <c r="L1974" s="452"/>
      <c r="M1974" s="452"/>
      <c r="N1974" s="452"/>
      <c r="O1974" s="452"/>
      <c r="Q1974" s="467"/>
    </row>
    <row r="1975" spans="1:17">
      <c r="C1975" s="4" t="s">
        <v>595</v>
      </c>
      <c r="D1975" s="79"/>
      <c r="E1975" s="4"/>
      <c r="F1975" s="4"/>
      <c r="G1975" s="4"/>
      <c r="H1975" s="4"/>
      <c r="I1975" s="452"/>
      <c r="J1975" s="452"/>
      <c r="K1975" s="467"/>
      <c r="L1975" s="452"/>
      <c r="M1975" s="452"/>
      <c r="N1975" s="452"/>
      <c r="O1975" s="452"/>
      <c r="Q1975" s="467"/>
    </row>
    <row r="1976" spans="1:17">
      <c r="D1976" s="79"/>
      <c r="E1976" s="4"/>
      <c r="F1976" s="4"/>
      <c r="G1976" s="4"/>
      <c r="H1976" s="4"/>
      <c r="I1976" s="452"/>
      <c r="J1976" s="452"/>
      <c r="K1976" s="467"/>
      <c r="L1976" s="452"/>
      <c r="M1976" s="452"/>
      <c r="N1976" s="452"/>
      <c r="O1976" s="452"/>
      <c r="Q1976" s="467"/>
    </row>
    <row r="1977" spans="1:17">
      <c r="C1977" s="4" t="s">
        <v>596</v>
      </c>
      <c r="D1977" s="469"/>
      <c r="E1977" s="469"/>
      <c r="F1977" s="469"/>
      <c r="G1977" s="469"/>
      <c r="H1977" s="467"/>
      <c r="I1977" s="467"/>
      <c r="J1977" s="471"/>
      <c r="K1977" s="471"/>
      <c r="L1977" s="471"/>
      <c r="M1977" s="471"/>
      <c r="N1977" s="471"/>
      <c r="O1977" s="471"/>
      <c r="Q1977" s="471"/>
    </row>
    <row r="1978" spans="1:17">
      <c r="C1978" s="4" t="s">
        <v>476</v>
      </c>
      <c r="D1978" s="469"/>
      <c r="E1978" s="469"/>
      <c r="F1978" s="469"/>
      <c r="G1978" s="469"/>
      <c r="H1978" s="467"/>
      <c r="I1978" s="467"/>
      <c r="J1978" s="471"/>
      <c r="K1978" s="471"/>
      <c r="L1978" s="471"/>
      <c r="M1978" s="471"/>
      <c r="N1978" s="471"/>
      <c r="O1978" s="471"/>
      <c r="Q1978" s="471"/>
    </row>
    <row r="1979" spans="1:17">
      <c r="C1979" s="4" t="s">
        <v>289</v>
      </c>
      <c r="D1979" s="469"/>
      <c r="E1979" s="469"/>
      <c r="F1979" s="469"/>
      <c r="G1979" s="469"/>
      <c r="H1979" s="467"/>
      <c r="I1979" s="467"/>
      <c r="J1979" s="471"/>
      <c r="K1979" s="471"/>
      <c r="L1979" s="471"/>
      <c r="M1979" s="471"/>
      <c r="N1979" s="471"/>
      <c r="O1979" s="471"/>
      <c r="Q1979" s="471"/>
    </row>
    <row r="1981" spans="1:17" ht="20.25">
      <c r="A1981" s="411" t="s">
        <v>762</v>
      </c>
      <c r="B1981" s="4"/>
      <c r="C1981" s="4"/>
      <c r="D1981" s="79"/>
      <c r="E1981" s="4"/>
      <c r="F1981" s="81"/>
      <c r="G1981" s="81"/>
      <c r="H1981" s="4"/>
      <c r="I1981" s="452"/>
      <c r="L1981" s="11"/>
      <c r="M1981" s="11"/>
      <c r="N1981" s="11"/>
      <c r="O1981" s="11" t="str">
        <f>"Page "&amp;SUM(Q$3:Q1981)&amp;" of "</f>
        <v xml:space="preserve">Page 23 of </v>
      </c>
      <c r="P1981" s="412">
        <f>COUNT(Q$8:Q$58212)</f>
        <v>23</v>
      </c>
    </row>
    <row r="1982" spans="1:17">
      <c r="B1982" s="4"/>
      <c r="C1982" s="4"/>
      <c r="D1982" s="79"/>
      <c r="E1982" s="4"/>
      <c r="F1982" s="4"/>
      <c r="G1982" s="4"/>
      <c r="H1982" s="4"/>
      <c r="I1982" s="452"/>
      <c r="J1982" s="4"/>
      <c r="K1982" s="4"/>
    </row>
    <row r="1983" spans="1:17" ht="18">
      <c r="B1983" s="413" t="s">
        <v>174</v>
      </c>
      <c r="C1983" s="472" t="s">
        <v>290</v>
      </c>
      <c r="D1983" s="79"/>
      <c r="E1983" s="4"/>
      <c r="F1983" s="4"/>
      <c r="G1983" s="4"/>
      <c r="H1983" s="4"/>
      <c r="I1983" s="452"/>
      <c r="J1983" s="452"/>
      <c r="K1983" s="467"/>
      <c r="L1983" s="452"/>
      <c r="M1983" s="452"/>
      <c r="N1983" s="452"/>
      <c r="O1983" s="452"/>
    </row>
    <row r="1984" spans="1:17" ht="18.75">
      <c r="B1984" s="413"/>
      <c r="C1984" s="13"/>
      <c r="D1984" s="79"/>
      <c r="E1984" s="4"/>
      <c r="F1984" s="4"/>
      <c r="G1984" s="4"/>
      <c r="H1984" s="4"/>
      <c r="I1984" s="452"/>
      <c r="J1984" s="452"/>
      <c r="K1984" s="467"/>
      <c r="L1984" s="452"/>
      <c r="M1984" s="452"/>
      <c r="N1984" s="452"/>
      <c r="O1984" s="452"/>
    </row>
    <row r="1985" spans="1:16" ht="18.75">
      <c r="B1985" s="413"/>
      <c r="C1985" s="13" t="s">
        <v>291</v>
      </c>
      <c r="D1985" s="79"/>
      <c r="E1985" s="4"/>
      <c r="F1985" s="4"/>
      <c r="G1985" s="4"/>
      <c r="H1985" s="4"/>
      <c r="I1985" s="452"/>
      <c r="J1985" s="452"/>
      <c r="K1985" s="467"/>
      <c r="L1985" s="452"/>
      <c r="M1985" s="452"/>
      <c r="N1985" s="452"/>
      <c r="O1985" s="452"/>
    </row>
    <row r="1986" spans="1:16" ht="15.75" thickBot="1">
      <c r="C1986" s="247"/>
      <c r="D1986" s="79"/>
      <c r="E1986" s="4"/>
      <c r="F1986" s="4"/>
      <c r="G1986" s="4"/>
      <c r="H1986" s="4"/>
      <c r="I1986" s="452"/>
      <c r="J1986" s="452"/>
      <c r="K1986" s="467"/>
      <c r="L1986" s="452"/>
      <c r="M1986" s="452"/>
      <c r="N1986" s="452"/>
      <c r="O1986" s="452"/>
    </row>
    <row r="1987" spans="1:16" ht="15.75">
      <c r="C1987" s="414" t="s">
        <v>292</v>
      </c>
      <c r="D1987" s="79"/>
      <c r="E1987" s="4"/>
      <c r="F1987" s="4"/>
      <c r="G1987" s="4"/>
      <c r="H1987" s="635"/>
      <c r="I1987" s="4" t="s">
        <v>271</v>
      </c>
      <c r="J1987" s="4"/>
      <c r="K1987" s="4"/>
      <c r="L1987" s="540">
        <f>+J1993</f>
        <v>2025</v>
      </c>
      <c r="M1987" s="524" t="s">
        <v>254</v>
      </c>
      <c r="N1987" s="524" t="s">
        <v>255</v>
      </c>
      <c r="O1987" s="525" t="s">
        <v>256</v>
      </c>
    </row>
    <row r="1988" spans="1:16" ht="15.75">
      <c r="C1988" s="414"/>
      <c r="D1988" s="79"/>
      <c r="E1988" s="4"/>
      <c r="F1988" s="4"/>
      <c r="H1988" s="4"/>
      <c r="I1988" s="476"/>
      <c r="J1988" s="476"/>
      <c r="K1988" s="477"/>
      <c r="L1988" s="541" t="s">
        <v>455</v>
      </c>
      <c r="M1988" s="542">
        <f>VLOOKUP(J1993,C2000:P2059,10)</f>
        <v>66019.96816266836</v>
      </c>
      <c r="N1988" s="542">
        <f>VLOOKUP(J1993,C2000:P2059,12)</f>
        <v>66019.96816266836</v>
      </c>
      <c r="O1988" s="543">
        <f>+N1988-M1988</f>
        <v>0</v>
      </c>
    </row>
    <row r="1989" spans="1:16">
      <c r="C1989" s="479" t="s">
        <v>293</v>
      </c>
      <c r="D1989" s="962" t="s">
        <v>1074</v>
      </c>
      <c r="E1989" s="962"/>
      <c r="F1989" s="962"/>
      <c r="G1989" s="962"/>
      <c r="H1989" s="962"/>
      <c r="I1989" s="483"/>
      <c r="J1989" s="452"/>
      <c r="K1989" s="467"/>
      <c r="L1989" s="541" t="s">
        <v>456</v>
      </c>
      <c r="M1989" s="544">
        <f>VLOOKUP(J1993,C2000:P2059,6)</f>
        <v>68067.29813825294</v>
      </c>
      <c r="N1989" s="544">
        <f>VLOOKUP(J1993,C2000:P2059,7)</f>
        <v>68067.29813825294</v>
      </c>
      <c r="O1989" s="545">
        <f>+N1989-M1989</f>
        <v>0</v>
      </c>
    </row>
    <row r="1990" spans="1:16" ht="13.5" thickBot="1">
      <c r="C1990" s="481"/>
      <c r="D1990" s="4" t="s">
        <v>114</v>
      </c>
      <c r="E1990" s="483"/>
      <c r="F1990" s="483"/>
      <c r="G1990" s="483"/>
      <c r="H1990" s="483"/>
      <c r="I1990" s="483"/>
      <c r="J1990" s="452"/>
      <c r="K1990" s="467"/>
      <c r="L1990" s="492" t="s">
        <v>457</v>
      </c>
      <c r="M1990" s="546">
        <f>+M1989-M1988</f>
        <v>2047.3299755845801</v>
      </c>
      <c r="N1990" s="546">
        <f>+N1989-N1988</f>
        <v>2047.3299755845801</v>
      </c>
      <c r="O1990" s="547">
        <f>+O1989-O1988</f>
        <v>0</v>
      </c>
    </row>
    <row r="1991" spans="1:16" ht="13.5" thickBot="1">
      <c r="C1991" s="481"/>
      <c r="D1991" s="4"/>
      <c r="E1991" s="483"/>
      <c r="F1991" s="483"/>
      <c r="G1991" s="483"/>
      <c r="H1991" s="483"/>
      <c r="I1991" s="483"/>
      <c r="J1991" s="483"/>
      <c r="K1991" s="483"/>
      <c r="L1991" s="483"/>
      <c r="M1991" s="483"/>
      <c r="N1991" s="483"/>
      <c r="O1991" s="483"/>
    </row>
    <row r="1992" spans="1:16" ht="13.5" thickBot="1">
      <c r="C1992" s="484" t="s">
        <v>294</v>
      </c>
      <c r="D1992" s="485"/>
      <c r="E1992" s="485"/>
      <c r="F1992" s="485"/>
      <c r="G1992" s="485"/>
      <c r="H1992" s="485"/>
      <c r="I1992" s="485"/>
      <c r="J1992" s="485"/>
    </row>
    <row r="1993" spans="1:16" ht="15">
      <c r="A1993" s="977"/>
      <c r="C1993" s="487" t="s">
        <v>272</v>
      </c>
      <c r="D1993" s="926">
        <v>445905.54000000004</v>
      </c>
      <c r="E1993" s="4" t="s">
        <v>273</v>
      </c>
      <c r="H1993" s="79"/>
      <c r="I1993" s="79"/>
      <c r="J1993" s="488">
        <f>$J$95</f>
        <v>2025</v>
      </c>
      <c r="K1993" s="135"/>
      <c r="L1993" s="1287" t="s">
        <v>274</v>
      </c>
      <c r="M1993" s="1287"/>
      <c r="N1993" s="1287"/>
      <c r="O1993" s="1287"/>
    </row>
    <row r="1994" spans="1:16">
      <c r="A1994" s="977"/>
      <c r="C1994" s="487" t="s">
        <v>275</v>
      </c>
      <c r="D1994" s="636">
        <v>2019</v>
      </c>
      <c r="E1994" s="487" t="s">
        <v>276</v>
      </c>
      <c r="F1994" s="79"/>
      <c r="G1994" s="79"/>
      <c r="I1994"/>
      <c r="J1994" s="638">
        <v>0</v>
      </c>
      <c r="K1994" s="489"/>
      <c r="L1994" s="467" t="s">
        <v>475</v>
      </c>
    </row>
    <row r="1995" spans="1:16">
      <c r="A1995" s="977"/>
      <c r="C1995" s="487" t="s">
        <v>277</v>
      </c>
      <c r="D1995" s="926">
        <v>7</v>
      </c>
      <c r="E1995" s="487" t="s">
        <v>278</v>
      </c>
      <c r="F1995" s="79"/>
      <c r="G1995" s="79"/>
      <c r="I1995"/>
      <c r="J1995" s="490">
        <f>$F$70</f>
        <v>0.14996626714737105</v>
      </c>
      <c r="K1995" s="81"/>
      <c r="L1995" s="4" t="str">
        <f>"          INPUT TRUE-UP ARR (WITH &amp; WITHOUT INCENTIVES) FROM EACH PRIOR YEAR"</f>
        <v xml:space="preserve">          INPUT TRUE-UP ARR (WITH &amp; WITHOUT INCENTIVES) FROM EACH PRIOR YEAR</v>
      </c>
    </row>
    <row r="1996" spans="1:16">
      <c r="A1996" s="977"/>
      <c r="C1996" s="487" t="s">
        <v>279</v>
      </c>
      <c r="D1996" s="491">
        <f>H79</f>
        <v>42</v>
      </c>
      <c r="E1996" s="487" t="s">
        <v>280</v>
      </c>
      <c r="F1996" s="79"/>
      <c r="G1996" s="79"/>
      <c r="I1996"/>
      <c r="J1996" s="490">
        <f>IF(H1987="",J1995,$F$69)</f>
        <v>0.14996626714737105</v>
      </c>
      <c r="K1996" s="81"/>
      <c r="L1996" s="4" t="s">
        <v>362</v>
      </c>
      <c r="M1996" s="81"/>
      <c r="N1996" s="81"/>
      <c r="O1996" s="81"/>
    </row>
    <row r="1997" spans="1:16" ht="13.5" thickBot="1">
      <c r="A1997" s="977"/>
      <c r="C1997" s="487" t="s">
        <v>281</v>
      </c>
      <c r="D1997" s="637" t="s">
        <v>923</v>
      </c>
      <c r="E1997" s="492" t="s">
        <v>282</v>
      </c>
      <c r="F1997" s="493"/>
      <c r="G1997" s="493"/>
      <c r="H1997" s="494"/>
      <c r="I1997" s="494"/>
      <c r="J1997" s="480">
        <f>IF(D1993=0,0,D1993/D1996)</f>
        <v>10616.798571428571</v>
      </c>
      <c r="K1997" s="467"/>
      <c r="L1997" s="467" t="s">
        <v>363</v>
      </c>
      <c r="M1997" s="467"/>
      <c r="N1997" s="467"/>
      <c r="O1997" s="467"/>
    </row>
    <row r="1998" spans="1:16" ht="38.25">
      <c r="A1998" s="12"/>
      <c r="B1998" s="12"/>
      <c r="C1998" s="495" t="s">
        <v>272</v>
      </c>
      <c r="D1998" s="496" t="s">
        <v>283</v>
      </c>
      <c r="E1998" s="497" t="s">
        <v>284</v>
      </c>
      <c r="F1998" s="496" t="s">
        <v>285</v>
      </c>
      <c r="G1998" s="496" t="s">
        <v>458</v>
      </c>
      <c r="H1998" s="497" t="s">
        <v>356</v>
      </c>
      <c r="I1998" s="498" t="s">
        <v>356</v>
      </c>
      <c r="J1998" s="495" t="s">
        <v>295</v>
      </c>
      <c r="K1998" s="499"/>
      <c r="L1998" s="497" t="s">
        <v>358</v>
      </c>
      <c r="M1998" s="497" t="s">
        <v>364</v>
      </c>
      <c r="N1998" s="497" t="s">
        <v>358</v>
      </c>
      <c r="O1998" s="497" t="s">
        <v>366</v>
      </c>
      <c r="P1998" s="497" t="s">
        <v>286</v>
      </c>
    </row>
    <row r="1999" spans="1:16" ht="13.5" thickBot="1">
      <c r="C1999" s="500" t="s">
        <v>177</v>
      </c>
      <c r="D1999" s="501" t="s">
        <v>178</v>
      </c>
      <c r="E1999" s="500" t="s">
        <v>37</v>
      </c>
      <c r="F1999" s="501" t="s">
        <v>178</v>
      </c>
      <c r="G1999" s="501" t="s">
        <v>178</v>
      </c>
      <c r="H1999" s="502" t="s">
        <v>298</v>
      </c>
      <c r="I1999" s="503" t="s">
        <v>300</v>
      </c>
      <c r="J1999" s="500" t="s">
        <v>389</v>
      </c>
      <c r="K1999" s="504"/>
      <c r="L1999" s="502" t="s">
        <v>287</v>
      </c>
      <c r="M1999" s="502" t="s">
        <v>287</v>
      </c>
      <c r="N1999" s="502" t="s">
        <v>467</v>
      </c>
      <c r="O1999" s="502" t="s">
        <v>467</v>
      </c>
      <c r="P1999" s="502" t="s">
        <v>467</v>
      </c>
    </row>
    <row r="2000" spans="1:16">
      <c r="C2000" s="505">
        <f>IF(D1994= "","-",D1994)</f>
        <v>2019</v>
      </c>
      <c r="D2000" s="469">
        <f>+D1993</f>
        <v>445905.54000000004</v>
      </c>
      <c r="E2000" s="506">
        <f>+J1997/12*(12-D1995)</f>
        <v>4423.6660714285717</v>
      </c>
      <c r="F2000" s="548">
        <f t="shared" ref="F2000:F2059" si="192">+D2000-E2000</f>
        <v>441481.87392857147</v>
      </c>
      <c r="G2000" s="469">
        <f t="shared" ref="G2000:G2059" si="193">+(D2000+F2000)/2</f>
        <v>443693.70696428575</v>
      </c>
      <c r="H2000" s="507">
        <f>+J1995*G2000+E2000</f>
        <v>70962.755061642005</v>
      </c>
      <c r="I2000" s="508">
        <f>+J1996*G2000+E2000</f>
        <v>70962.755061642005</v>
      </c>
      <c r="J2000" s="509">
        <f t="shared" ref="J2000:J2059" si="194">+I2000-H2000</f>
        <v>0</v>
      </c>
      <c r="K2000" s="509"/>
      <c r="L2000" s="513">
        <v>787895</v>
      </c>
      <c r="M2000" s="549">
        <f t="shared" ref="M2000:M2059" si="195">IF(L2000&lt;&gt;0,+H2000-L2000,0)</f>
        <v>-716932.24493835797</v>
      </c>
      <c r="N2000" s="513">
        <v>787895</v>
      </c>
      <c r="O2000" s="549">
        <f t="shared" ref="O2000:O2059" si="196">IF(N2000&lt;&gt;0,+I2000-N2000,0)</f>
        <v>-716932.24493835797</v>
      </c>
      <c r="P2000" s="549">
        <f t="shared" ref="P2000:P2059" si="197">+O2000-M2000</f>
        <v>0</v>
      </c>
    </row>
    <row r="2001" spans="3:16">
      <c r="C2001" s="505">
        <f>IF(D1994="","-",+C2000+1)</f>
        <v>2020</v>
      </c>
      <c r="D2001" s="469">
        <f t="shared" ref="D2001:D2059" si="198">F2000</f>
        <v>441481.87392857147</v>
      </c>
      <c r="E2001" s="511">
        <f>IF(D2001&gt;$J$1997,$J$1997,D2001)</f>
        <v>10616.798571428571</v>
      </c>
      <c r="F2001" s="511">
        <f t="shared" si="192"/>
        <v>430865.07535714289</v>
      </c>
      <c r="G2001" s="469">
        <f t="shared" si="193"/>
        <v>436173.47464285721</v>
      </c>
      <c r="H2001" s="506">
        <f>+J1995*G2001+E2001</f>
        <v>76028.10639231636</v>
      </c>
      <c r="I2001" s="512">
        <f>+J1996*G2001+E2001</f>
        <v>76028.10639231636</v>
      </c>
      <c r="J2001" s="509">
        <f t="shared" si="194"/>
        <v>0</v>
      </c>
      <c r="K2001" s="509"/>
      <c r="L2001" s="513">
        <v>1123918.7591026004</v>
      </c>
      <c r="M2001" s="509">
        <f t="shared" si="195"/>
        <v>-1047890.652710284</v>
      </c>
      <c r="N2001" s="513">
        <v>1123918.7591026004</v>
      </c>
      <c r="O2001" s="509">
        <f t="shared" si="196"/>
        <v>-1047890.652710284</v>
      </c>
      <c r="P2001" s="509">
        <f t="shared" si="197"/>
        <v>0</v>
      </c>
    </row>
    <row r="2002" spans="3:16">
      <c r="C2002" s="505">
        <f>IF(D1994="","-",+C2001+1)</f>
        <v>2021</v>
      </c>
      <c r="D2002" s="469">
        <f t="shared" si="198"/>
        <v>430865.07535714289</v>
      </c>
      <c r="E2002" s="511">
        <f t="shared" ref="E2002:E2059" si="199">IF(D2002&gt;$J$1997,$J$1997,D2002)</f>
        <v>10616.798571428571</v>
      </c>
      <c r="F2002" s="511">
        <f t="shared" si="192"/>
        <v>420248.27678571432</v>
      </c>
      <c r="G2002" s="469">
        <f t="shared" si="193"/>
        <v>425556.67607142858</v>
      </c>
      <c r="H2002" s="506">
        <f>+J1995*G2002+E2002</f>
        <v>74435.94474150367</v>
      </c>
      <c r="I2002" s="512">
        <f>+J1996*G2002+E2002</f>
        <v>74435.94474150367</v>
      </c>
      <c r="J2002" s="509">
        <f t="shared" si="194"/>
        <v>0</v>
      </c>
      <c r="K2002" s="509"/>
      <c r="L2002" s="513">
        <v>0</v>
      </c>
      <c r="M2002" s="509">
        <f t="shared" si="195"/>
        <v>0</v>
      </c>
      <c r="N2002" s="513">
        <v>0</v>
      </c>
      <c r="O2002" s="509">
        <f t="shared" si="196"/>
        <v>0</v>
      </c>
      <c r="P2002" s="509">
        <f t="shared" si="197"/>
        <v>0</v>
      </c>
    </row>
    <row r="2003" spans="3:16">
      <c r="C2003" s="505">
        <f>IF(D1994="","-",+C2002+1)</f>
        <v>2022</v>
      </c>
      <c r="D2003" s="941">
        <f t="shared" si="198"/>
        <v>420248.27678571432</v>
      </c>
      <c r="E2003" s="511">
        <f t="shared" si="199"/>
        <v>10616.798571428571</v>
      </c>
      <c r="F2003" s="511">
        <f t="shared" si="192"/>
        <v>409631.47821428574</v>
      </c>
      <c r="G2003" s="469">
        <f t="shared" si="193"/>
        <v>414939.87750000006</v>
      </c>
      <c r="H2003" s="506">
        <f>+J1995*G2003+E2003</f>
        <v>72843.783090690995</v>
      </c>
      <c r="I2003" s="512">
        <f>+J1996*G2003+E2003</f>
        <v>72843.783090690995</v>
      </c>
      <c r="J2003" s="509">
        <f t="shared" si="194"/>
        <v>0</v>
      </c>
      <c r="K2003" s="509"/>
      <c r="L2003" s="513">
        <v>0</v>
      </c>
      <c r="M2003" s="509">
        <f t="shared" si="195"/>
        <v>0</v>
      </c>
      <c r="N2003" s="513">
        <v>0</v>
      </c>
      <c r="O2003" s="509">
        <f t="shared" si="196"/>
        <v>0</v>
      </c>
      <c r="P2003" s="509">
        <f t="shared" si="197"/>
        <v>0</v>
      </c>
    </row>
    <row r="2004" spans="3:16">
      <c r="C2004" s="505">
        <f>IF(D1994="","-",+C2003+1)</f>
        <v>2023</v>
      </c>
      <c r="D2004" s="469">
        <f t="shared" si="198"/>
        <v>409631.47821428574</v>
      </c>
      <c r="E2004" s="511">
        <f t="shared" si="199"/>
        <v>10616.798571428571</v>
      </c>
      <c r="F2004" s="511">
        <f t="shared" si="192"/>
        <v>399014.67964285717</v>
      </c>
      <c r="G2004" s="469">
        <f t="shared" si="193"/>
        <v>404323.07892857143</v>
      </c>
      <c r="H2004" s="506">
        <f>+J1995*G2004+E2004</f>
        <v>71251.621439878305</v>
      </c>
      <c r="I2004" s="512">
        <f>+J1996*G2004+E2004</f>
        <v>71251.621439878305</v>
      </c>
      <c r="J2004" s="509">
        <f t="shared" si="194"/>
        <v>0</v>
      </c>
      <c r="K2004" s="509"/>
      <c r="L2004" s="513">
        <v>0</v>
      </c>
      <c r="M2004" s="509">
        <f t="shared" si="195"/>
        <v>0</v>
      </c>
      <c r="N2004" s="513">
        <v>0</v>
      </c>
      <c r="O2004" s="509">
        <f t="shared" si="196"/>
        <v>0</v>
      </c>
      <c r="P2004" s="509">
        <f t="shared" si="197"/>
        <v>0</v>
      </c>
    </row>
    <row r="2005" spans="3:16">
      <c r="C2005" s="505">
        <f>IF(D1994="","-",+C2004+1)</f>
        <v>2024</v>
      </c>
      <c r="D2005" s="941">
        <f t="shared" si="198"/>
        <v>399014.67964285717</v>
      </c>
      <c r="E2005" s="511">
        <f t="shared" si="199"/>
        <v>10616.798571428571</v>
      </c>
      <c r="F2005" s="511">
        <f t="shared" si="192"/>
        <v>388397.88107142859</v>
      </c>
      <c r="G2005" s="469">
        <f t="shared" si="193"/>
        <v>393706.28035714291</v>
      </c>
      <c r="H2005" s="506">
        <f>+J1995*G2005+E2005</f>
        <v>69659.45978906563</v>
      </c>
      <c r="I2005" s="512">
        <f>+J1996*G2005+E2005</f>
        <v>69659.45978906563</v>
      </c>
      <c r="J2005" s="509">
        <f t="shared" si="194"/>
        <v>0</v>
      </c>
      <c r="K2005" s="509"/>
      <c r="L2005" s="513">
        <v>69498.426284852962</v>
      </c>
      <c r="M2005" s="509">
        <f t="shared" si="195"/>
        <v>161.03350421266805</v>
      </c>
      <c r="N2005" s="513">
        <v>69498.426284852962</v>
      </c>
      <c r="O2005" s="509">
        <f t="shared" si="196"/>
        <v>161.03350421266805</v>
      </c>
      <c r="P2005" s="509">
        <f t="shared" si="197"/>
        <v>0</v>
      </c>
    </row>
    <row r="2006" spans="3:16">
      <c r="C2006" s="505">
        <f>IF(D1994="","-",+C2005+1)</f>
        <v>2025</v>
      </c>
      <c r="D2006" s="941">
        <f t="shared" si="198"/>
        <v>388397.88107142859</v>
      </c>
      <c r="E2006" s="511">
        <f t="shared" si="199"/>
        <v>10616.798571428571</v>
      </c>
      <c r="F2006" s="511">
        <f t="shared" si="192"/>
        <v>377781.08250000002</v>
      </c>
      <c r="G2006" s="469">
        <f t="shared" si="193"/>
        <v>383089.48178571428</v>
      </c>
      <c r="H2006" s="506">
        <f>+J1995*G2006+E2006</f>
        <v>68067.29813825294</v>
      </c>
      <c r="I2006" s="512">
        <f>+J1996*G2006+E2006</f>
        <v>68067.29813825294</v>
      </c>
      <c r="J2006" s="509">
        <f t="shared" si="194"/>
        <v>0</v>
      </c>
      <c r="K2006" s="509"/>
      <c r="L2006" s="513">
        <v>66019.96816266836</v>
      </c>
      <c r="M2006" s="509">
        <f t="shared" si="195"/>
        <v>2047.3299755845801</v>
      </c>
      <c r="N2006" s="513">
        <v>66019.96816266836</v>
      </c>
      <c r="O2006" s="509">
        <f t="shared" si="196"/>
        <v>2047.3299755845801</v>
      </c>
      <c r="P2006" s="509">
        <f t="shared" si="197"/>
        <v>0</v>
      </c>
    </row>
    <row r="2007" spans="3:16">
      <c r="C2007" s="505">
        <f>IF(D1994="","-",+C2006+1)</f>
        <v>2026</v>
      </c>
      <c r="D2007" s="469">
        <f t="shared" si="198"/>
        <v>377781.08250000002</v>
      </c>
      <c r="E2007" s="511">
        <f t="shared" si="199"/>
        <v>10616.798571428571</v>
      </c>
      <c r="F2007" s="511">
        <f t="shared" si="192"/>
        <v>367164.28392857144</v>
      </c>
      <c r="G2007" s="469">
        <f t="shared" si="193"/>
        <v>372472.68321428576</v>
      </c>
      <c r="H2007" s="506">
        <f>+J1995*G2007+E2007</f>
        <v>66475.13648744025</v>
      </c>
      <c r="I2007" s="512">
        <f>+J1996*G2007+E2007</f>
        <v>66475.13648744025</v>
      </c>
      <c r="J2007" s="509">
        <f t="shared" si="194"/>
        <v>0</v>
      </c>
      <c r="K2007" s="509"/>
      <c r="L2007" s="513">
        <v>0</v>
      </c>
      <c r="M2007" s="509">
        <f t="shared" si="195"/>
        <v>0</v>
      </c>
      <c r="N2007" s="513">
        <v>0</v>
      </c>
      <c r="O2007" s="509">
        <f t="shared" si="196"/>
        <v>0</v>
      </c>
      <c r="P2007" s="509">
        <f t="shared" si="197"/>
        <v>0</v>
      </c>
    </row>
    <row r="2008" spans="3:16">
      <c r="C2008" s="505">
        <f>IF(D1994="","-",+C2007+1)</f>
        <v>2027</v>
      </c>
      <c r="D2008" s="469">
        <f t="shared" si="198"/>
        <v>367164.28392857144</v>
      </c>
      <c r="E2008" s="511">
        <f t="shared" si="199"/>
        <v>10616.798571428571</v>
      </c>
      <c r="F2008" s="511">
        <f t="shared" si="192"/>
        <v>356547.48535714287</v>
      </c>
      <c r="G2008" s="469">
        <f t="shared" si="193"/>
        <v>361855.88464285713</v>
      </c>
      <c r="H2008" s="506">
        <f>+J1995*G2008+E2008</f>
        <v>64882.97483662756</v>
      </c>
      <c r="I2008" s="512">
        <f>+J1996*G2008+E2008</f>
        <v>64882.97483662756</v>
      </c>
      <c r="J2008" s="509">
        <f t="shared" si="194"/>
        <v>0</v>
      </c>
      <c r="K2008" s="509"/>
      <c r="L2008" s="513">
        <v>0</v>
      </c>
      <c r="M2008" s="509">
        <f t="shared" si="195"/>
        <v>0</v>
      </c>
      <c r="N2008" s="513">
        <v>0</v>
      </c>
      <c r="O2008" s="509">
        <f t="shared" si="196"/>
        <v>0</v>
      </c>
      <c r="P2008" s="509">
        <f t="shared" si="197"/>
        <v>0</v>
      </c>
    </row>
    <row r="2009" spans="3:16">
      <c r="C2009" s="963">
        <f>IF(D1994="","-",+C2008+1)</f>
        <v>2028</v>
      </c>
      <c r="D2009" s="469">
        <f t="shared" si="198"/>
        <v>356547.48535714287</v>
      </c>
      <c r="E2009" s="511">
        <f t="shared" si="199"/>
        <v>10616.798571428571</v>
      </c>
      <c r="F2009" s="511">
        <f t="shared" si="192"/>
        <v>345930.68678571429</v>
      </c>
      <c r="G2009" s="469">
        <f t="shared" si="193"/>
        <v>351239.08607142861</v>
      </c>
      <c r="H2009" s="506">
        <f>+J1995*G2009+E2009</f>
        <v>63290.813185814884</v>
      </c>
      <c r="I2009" s="512">
        <f>+J1996*G2009+E2009</f>
        <v>63290.813185814884</v>
      </c>
      <c r="J2009" s="509">
        <f t="shared" si="194"/>
        <v>0</v>
      </c>
      <c r="K2009" s="509"/>
      <c r="L2009" s="513">
        <v>0</v>
      </c>
      <c r="M2009" s="509">
        <f t="shared" si="195"/>
        <v>0</v>
      </c>
      <c r="N2009" s="513">
        <v>0</v>
      </c>
      <c r="O2009" s="509">
        <f t="shared" si="196"/>
        <v>0</v>
      </c>
      <c r="P2009" s="509">
        <f t="shared" si="197"/>
        <v>0</v>
      </c>
    </row>
    <row r="2010" spans="3:16">
      <c r="C2010" s="505">
        <f>IF(D1994="","-",+C2009+1)</f>
        <v>2029</v>
      </c>
      <c r="D2010" s="469">
        <f t="shared" si="198"/>
        <v>345930.68678571429</v>
      </c>
      <c r="E2010" s="511">
        <f t="shared" si="199"/>
        <v>10616.798571428571</v>
      </c>
      <c r="F2010" s="511">
        <f t="shared" si="192"/>
        <v>335313.88821428572</v>
      </c>
      <c r="G2010" s="469">
        <f t="shared" si="193"/>
        <v>340622.28749999998</v>
      </c>
      <c r="H2010" s="506">
        <f>+J1995*G2010+E2010</f>
        <v>61698.651535002195</v>
      </c>
      <c r="I2010" s="512">
        <f>+J1996*G2010+E2010</f>
        <v>61698.651535002195</v>
      </c>
      <c r="J2010" s="509">
        <f t="shared" si="194"/>
        <v>0</v>
      </c>
      <c r="K2010" s="509"/>
      <c r="L2010" s="513"/>
      <c r="M2010" s="509">
        <f t="shared" si="195"/>
        <v>0</v>
      </c>
      <c r="N2010" s="513"/>
      <c r="O2010" s="509">
        <f t="shared" si="196"/>
        <v>0</v>
      </c>
      <c r="P2010" s="509">
        <f t="shared" si="197"/>
        <v>0</v>
      </c>
    </row>
    <row r="2011" spans="3:16">
      <c r="C2011" s="505">
        <f>IF(D1994="","-",+C2010+1)</f>
        <v>2030</v>
      </c>
      <c r="D2011" s="469">
        <f t="shared" si="198"/>
        <v>335313.88821428572</v>
      </c>
      <c r="E2011" s="511">
        <f t="shared" si="199"/>
        <v>10616.798571428571</v>
      </c>
      <c r="F2011" s="511">
        <f t="shared" si="192"/>
        <v>324697.08964285714</v>
      </c>
      <c r="G2011" s="469">
        <f t="shared" si="193"/>
        <v>330005.48892857146</v>
      </c>
      <c r="H2011" s="506">
        <f>+J1995*G2011+E2011</f>
        <v>60106.489884189519</v>
      </c>
      <c r="I2011" s="512">
        <f>+J1996*G2011+E2011</f>
        <v>60106.489884189519</v>
      </c>
      <c r="J2011" s="509">
        <f t="shared" si="194"/>
        <v>0</v>
      </c>
      <c r="K2011" s="509"/>
      <c r="L2011" s="513"/>
      <c r="M2011" s="509">
        <f t="shared" si="195"/>
        <v>0</v>
      </c>
      <c r="N2011" s="513"/>
      <c r="O2011" s="509">
        <f t="shared" si="196"/>
        <v>0</v>
      </c>
      <c r="P2011" s="509">
        <f t="shared" si="197"/>
        <v>0</v>
      </c>
    </row>
    <row r="2012" spans="3:16">
      <c r="C2012" s="505">
        <f>IF(D1994="","-",+C2011+1)</f>
        <v>2031</v>
      </c>
      <c r="D2012" s="469">
        <f t="shared" si="198"/>
        <v>324697.08964285714</v>
      </c>
      <c r="E2012" s="511">
        <f t="shared" si="199"/>
        <v>10616.798571428571</v>
      </c>
      <c r="F2012" s="511">
        <f t="shared" si="192"/>
        <v>314080.29107142857</v>
      </c>
      <c r="G2012" s="469">
        <f t="shared" si="193"/>
        <v>319388.69035714283</v>
      </c>
      <c r="H2012" s="506">
        <f>+J1995*G2012+E2012</f>
        <v>58514.328233376829</v>
      </c>
      <c r="I2012" s="512">
        <f>+J1996*G2012+E2012</f>
        <v>58514.328233376829</v>
      </c>
      <c r="J2012" s="509">
        <f t="shared" si="194"/>
        <v>0</v>
      </c>
      <c r="K2012" s="509"/>
      <c r="L2012" s="513"/>
      <c r="M2012" s="509">
        <f t="shared" si="195"/>
        <v>0</v>
      </c>
      <c r="N2012" s="513"/>
      <c r="O2012" s="509">
        <f t="shared" si="196"/>
        <v>0</v>
      </c>
      <c r="P2012" s="509">
        <f t="shared" si="197"/>
        <v>0</v>
      </c>
    </row>
    <row r="2013" spans="3:16">
      <c r="C2013" s="505">
        <f>IF(D1994="","-",+C2012+1)</f>
        <v>2032</v>
      </c>
      <c r="D2013" s="469">
        <f t="shared" si="198"/>
        <v>314080.29107142857</v>
      </c>
      <c r="E2013" s="511">
        <f t="shared" si="199"/>
        <v>10616.798571428571</v>
      </c>
      <c r="F2013" s="511">
        <f t="shared" si="192"/>
        <v>303463.49249999999</v>
      </c>
      <c r="G2013" s="469">
        <f t="shared" si="193"/>
        <v>308771.89178571431</v>
      </c>
      <c r="H2013" s="506">
        <f>+J1995*G2013+E2013</f>
        <v>56922.166582564154</v>
      </c>
      <c r="I2013" s="512">
        <f>+J1996*G2013+E2013</f>
        <v>56922.166582564154</v>
      </c>
      <c r="J2013" s="509">
        <f t="shared" si="194"/>
        <v>0</v>
      </c>
      <c r="K2013" s="509"/>
      <c r="L2013" s="513"/>
      <c r="M2013" s="509">
        <f t="shared" si="195"/>
        <v>0</v>
      </c>
      <c r="N2013" s="513"/>
      <c r="O2013" s="509">
        <f t="shared" si="196"/>
        <v>0</v>
      </c>
      <c r="P2013" s="509">
        <f t="shared" si="197"/>
        <v>0</v>
      </c>
    </row>
    <row r="2014" spans="3:16">
      <c r="C2014" s="505">
        <f>IF(D1994="","-",+C2013+1)</f>
        <v>2033</v>
      </c>
      <c r="D2014" s="469">
        <f t="shared" si="198"/>
        <v>303463.49249999999</v>
      </c>
      <c r="E2014" s="511">
        <f t="shared" si="199"/>
        <v>10616.798571428571</v>
      </c>
      <c r="F2014" s="511">
        <f t="shared" si="192"/>
        <v>292846.69392857142</v>
      </c>
      <c r="G2014" s="469">
        <f t="shared" si="193"/>
        <v>298155.09321428568</v>
      </c>
      <c r="H2014" s="506">
        <f>+J1995*G2014+E2014</f>
        <v>55330.004931751449</v>
      </c>
      <c r="I2014" s="512">
        <f>+J1996*G2014+E2014</f>
        <v>55330.004931751449</v>
      </c>
      <c r="J2014" s="509">
        <f t="shared" si="194"/>
        <v>0</v>
      </c>
      <c r="K2014" s="509"/>
      <c r="L2014" s="513"/>
      <c r="M2014" s="509">
        <f t="shared" si="195"/>
        <v>0</v>
      </c>
      <c r="N2014" s="513"/>
      <c r="O2014" s="509">
        <f t="shared" si="196"/>
        <v>0</v>
      </c>
      <c r="P2014" s="509">
        <f t="shared" si="197"/>
        <v>0</v>
      </c>
    </row>
    <row r="2015" spans="3:16">
      <c r="C2015" s="505">
        <f>IF(D1994="","-",+C2014+1)</f>
        <v>2034</v>
      </c>
      <c r="D2015" s="469">
        <f t="shared" si="198"/>
        <v>292846.69392857142</v>
      </c>
      <c r="E2015" s="511">
        <f t="shared" si="199"/>
        <v>10616.798571428571</v>
      </c>
      <c r="F2015" s="511">
        <f t="shared" si="192"/>
        <v>282229.89535714284</v>
      </c>
      <c r="G2015" s="469">
        <f t="shared" si="193"/>
        <v>287538.29464285716</v>
      </c>
      <c r="H2015" s="506">
        <f>+J1995*G2015+E2015</f>
        <v>53737.843280938774</v>
      </c>
      <c r="I2015" s="512">
        <f>+J1996*G2015+E2015</f>
        <v>53737.843280938774</v>
      </c>
      <c r="J2015" s="509">
        <f t="shared" si="194"/>
        <v>0</v>
      </c>
      <c r="K2015" s="509"/>
      <c r="L2015" s="513"/>
      <c r="M2015" s="509">
        <f t="shared" si="195"/>
        <v>0</v>
      </c>
      <c r="N2015" s="513"/>
      <c r="O2015" s="509">
        <f t="shared" si="196"/>
        <v>0</v>
      </c>
      <c r="P2015" s="509">
        <f t="shared" si="197"/>
        <v>0</v>
      </c>
    </row>
    <row r="2016" spans="3:16">
      <c r="C2016" s="505">
        <f>IF(D1994="","-",+C2015+1)</f>
        <v>2035</v>
      </c>
      <c r="D2016" s="469">
        <f t="shared" si="198"/>
        <v>282229.89535714284</v>
      </c>
      <c r="E2016" s="511">
        <f t="shared" si="199"/>
        <v>10616.798571428571</v>
      </c>
      <c r="F2016" s="511">
        <f t="shared" si="192"/>
        <v>271613.09678571427</v>
      </c>
      <c r="G2016" s="469">
        <f t="shared" si="193"/>
        <v>276921.49607142853</v>
      </c>
      <c r="H2016" s="506">
        <f>+J1995*G2016+E2016</f>
        <v>52145.681630126084</v>
      </c>
      <c r="I2016" s="512">
        <f>+J1996*G2016+E2016</f>
        <v>52145.681630126084</v>
      </c>
      <c r="J2016" s="509">
        <f t="shared" si="194"/>
        <v>0</v>
      </c>
      <c r="K2016" s="509"/>
      <c r="L2016" s="513"/>
      <c r="M2016" s="509">
        <f t="shared" si="195"/>
        <v>0</v>
      </c>
      <c r="N2016" s="513"/>
      <c r="O2016" s="509">
        <f t="shared" si="196"/>
        <v>0</v>
      </c>
      <c r="P2016" s="509">
        <f t="shared" si="197"/>
        <v>0</v>
      </c>
    </row>
    <row r="2017" spans="3:16">
      <c r="C2017" s="505">
        <f>IF(D1994="","-",+C2016+1)</f>
        <v>2036</v>
      </c>
      <c r="D2017" s="469">
        <f t="shared" si="198"/>
        <v>271613.09678571427</v>
      </c>
      <c r="E2017" s="511">
        <f t="shared" si="199"/>
        <v>10616.798571428571</v>
      </c>
      <c r="F2017" s="511">
        <f t="shared" si="192"/>
        <v>260996.29821428569</v>
      </c>
      <c r="G2017" s="469">
        <f t="shared" si="193"/>
        <v>266304.69750000001</v>
      </c>
      <c r="H2017" s="506">
        <f>+J1995*G2017+E2017</f>
        <v>50553.519979313409</v>
      </c>
      <c r="I2017" s="512">
        <f>+J1996*G2017+E2017</f>
        <v>50553.519979313409</v>
      </c>
      <c r="J2017" s="509">
        <f t="shared" si="194"/>
        <v>0</v>
      </c>
      <c r="K2017" s="509"/>
      <c r="L2017" s="513"/>
      <c r="M2017" s="509">
        <f t="shared" si="195"/>
        <v>0</v>
      </c>
      <c r="N2017" s="513"/>
      <c r="O2017" s="509">
        <f t="shared" si="196"/>
        <v>0</v>
      </c>
      <c r="P2017" s="509">
        <f t="shared" si="197"/>
        <v>0</v>
      </c>
    </row>
    <row r="2018" spans="3:16">
      <c r="C2018" s="505">
        <f>IF(D1994="","-",+C2017+1)</f>
        <v>2037</v>
      </c>
      <c r="D2018" s="469">
        <f t="shared" si="198"/>
        <v>260996.29821428569</v>
      </c>
      <c r="E2018" s="511">
        <f t="shared" si="199"/>
        <v>10616.798571428571</v>
      </c>
      <c r="F2018" s="511">
        <f t="shared" si="192"/>
        <v>250379.49964285712</v>
      </c>
      <c r="G2018" s="469">
        <f t="shared" si="193"/>
        <v>255687.89892857141</v>
      </c>
      <c r="H2018" s="506">
        <f>+J1995*G2018+E2018</f>
        <v>48961.358328500719</v>
      </c>
      <c r="I2018" s="512">
        <f>+J1996*G2018+E2018</f>
        <v>48961.358328500719</v>
      </c>
      <c r="J2018" s="509">
        <f t="shared" si="194"/>
        <v>0</v>
      </c>
      <c r="K2018" s="509"/>
      <c r="L2018" s="513"/>
      <c r="M2018" s="509">
        <f t="shared" si="195"/>
        <v>0</v>
      </c>
      <c r="N2018" s="513"/>
      <c r="O2018" s="509">
        <f t="shared" si="196"/>
        <v>0</v>
      </c>
      <c r="P2018" s="509">
        <f t="shared" si="197"/>
        <v>0</v>
      </c>
    </row>
    <row r="2019" spans="3:16">
      <c r="C2019" s="505">
        <f>IF(D1994="","-",+C2018+1)</f>
        <v>2038</v>
      </c>
      <c r="D2019" s="469">
        <f t="shared" si="198"/>
        <v>250379.49964285712</v>
      </c>
      <c r="E2019" s="511">
        <f t="shared" si="199"/>
        <v>10616.798571428571</v>
      </c>
      <c r="F2019" s="511">
        <f t="shared" si="192"/>
        <v>239762.70107142854</v>
      </c>
      <c r="G2019" s="469">
        <f t="shared" si="193"/>
        <v>245071.10035714283</v>
      </c>
      <c r="H2019" s="506">
        <f>+J1995*G2019+E2019</f>
        <v>47369.196677688029</v>
      </c>
      <c r="I2019" s="512">
        <f>+J1996*G2019+E2019</f>
        <v>47369.196677688029</v>
      </c>
      <c r="J2019" s="509">
        <f t="shared" si="194"/>
        <v>0</v>
      </c>
      <c r="K2019" s="509"/>
      <c r="L2019" s="513"/>
      <c r="M2019" s="509">
        <f t="shared" si="195"/>
        <v>0</v>
      </c>
      <c r="N2019" s="513"/>
      <c r="O2019" s="509">
        <f t="shared" si="196"/>
        <v>0</v>
      </c>
      <c r="P2019" s="509">
        <f t="shared" si="197"/>
        <v>0</v>
      </c>
    </row>
    <row r="2020" spans="3:16">
      <c r="C2020" s="505">
        <f>IF(D1994="","-",+C2019+1)</f>
        <v>2039</v>
      </c>
      <c r="D2020" s="469">
        <f t="shared" si="198"/>
        <v>239762.70107142854</v>
      </c>
      <c r="E2020" s="511">
        <f t="shared" si="199"/>
        <v>10616.798571428571</v>
      </c>
      <c r="F2020" s="511">
        <f t="shared" si="192"/>
        <v>229145.90249999997</v>
      </c>
      <c r="G2020" s="469">
        <f t="shared" si="193"/>
        <v>234454.30178571425</v>
      </c>
      <c r="H2020" s="506">
        <f>+J1995*G2020+E2020</f>
        <v>45777.035026875354</v>
      </c>
      <c r="I2020" s="512">
        <f>+J1996*G2020+E2020</f>
        <v>45777.035026875354</v>
      </c>
      <c r="J2020" s="509">
        <f t="shared" si="194"/>
        <v>0</v>
      </c>
      <c r="K2020" s="509"/>
      <c r="L2020" s="513"/>
      <c r="M2020" s="509">
        <f t="shared" si="195"/>
        <v>0</v>
      </c>
      <c r="N2020" s="513"/>
      <c r="O2020" s="509">
        <f t="shared" si="196"/>
        <v>0</v>
      </c>
      <c r="P2020" s="509">
        <f t="shared" si="197"/>
        <v>0</v>
      </c>
    </row>
    <row r="2021" spans="3:16">
      <c r="C2021" s="505">
        <f>IF(D1994="","-",+C2020+1)</f>
        <v>2040</v>
      </c>
      <c r="D2021" s="469">
        <f t="shared" si="198"/>
        <v>229145.90249999997</v>
      </c>
      <c r="E2021" s="511">
        <f t="shared" si="199"/>
        <v>10616.798571428571</v>
      </c>
      <c r="F2021" s="511">
        <f t="shared" si="192"/>
        <v>218529.10392857139</v>
      </c>
      <c r="G2021" s="469">
        <f t="shared" si="193"/>
        <v>223837.50321428568</v>
      </c>
      <c r="H2021" s="506">
        <f>+J1995*G2021+E2021</f>
        <v>44184.873376062664</v>
      </c>
      <c r="I2021" s="512">
        <f>+J1996*G2021+E2021</f>
        <v>44184.873376062664</v>
      </c>
      <c r="J2021" s="509">
        <f t="shared" si="194"/>
        <v>0</v>
      </c>
      <c r="K2021" s="509"/>
      <c r="L2021" s="513"/>
      <c r="M2021" s="509">
        <f t="shared" si="195"/>
        <v>0</v>
      </c>
      <c r="N2021" s="513"/>
      <c r="O2021" s="509">
        <f t="shared" si="196"/>
        <v>0</v>
      </c>
      <c r="P2021" s="509">
        <f t="shared" si="197"/>
        <v>0</v>
      </c>
    </row>
    <row r="2022" spans="3:16">
      <c r="C2022" s="505">
        <f>IF(D1994="","-",+C2021+1)</f>
        <v>2041</v>
      </c>
      <c r="D2022" s="469">
        <f t="shared" si="198"/>
        <v>218529.10392857139</v>
      </c>
      <c r="E2022" s="511">
        <f t="shared" si="199"/>
        <v>10616.798571428571</v>
      </c>
      <c r="F2022" s="511">
        <f t="shared" si="192"/>
        <v>207912.30535714282</v>
      </c>
      <c r="G2022" s="469">
        <f t="shared" si="193"/>
        <v>213220.7046428571</v>
      </c>
      <c r="H2022" s="506">
        <f>+J1995*G2022+E2022</f>
        <v>42592.711725249974</v>
      </c>
      <c r="I2022" s="512">
        <f>+J1996*G2022+E2022</f>
        <v>42592.711725249974</v>
      </c>
      <c r="J2022" s="509">
        <f t="shared" si="194"/>
        <v>0</v>
      </c>
      <c r="K2022" s="509"/>
      <c r="L2022" s="513"/>
      <c r="M2022" s="509">
        <f t="shared" si="195"/>
        <v>0</v>
      </c>
      <c r="N2022" s="513"/>
      <c r="O2022" s="509">
        <f t="shared" si="196"/>
        <v>0</v>
      </c>
      <c r="P2022" s="509">
        <f t="shared" si="197"/>
        <v>0</v>
      </c>
    </row>
    <row r="2023" spans="3:16">
      <c r="C2023" s="505">
        <f>IF(D1994="","-",+C2022+1)</f>
        <v>2042</v>
      </c>
      <c r="D2023" s="469">
        <f t="shared" si="198"/>
        <v>207912.30535714282</v>
      </c>
      <c r="E2023" s="511">
        <f t="shared" si="199"/>
        <v>10616.798571428571</v>
      </c>
      <c r="F2023" s="511">
        <f t="shared" si="192"/>
        <v>197295.50678571424</v>
      </c>
      <c r="G2023" s="469">
        <f t="shared" si="193"/>
        <v>202603.90607142853</v>
      </c>
      <c r="H2023" s="506">
        <f>+J1995*G2023+E2023</f>
        <v>41000.550074437298</v>
      </c>
      <c r="I2023" s="512">
        <f>+J1996*G2023+E2023</f>
        <v>41000.550074437298</v>
      </c>
      <c r="J2023" s="509">
        <f t="shared" si="194"/>
        <v>0</v>
      </c>
      <c r="K2023" s="509"/>
      <c r="L2023" s="513"/>
      <c r="M2023" s="509">
        <f t="shared" si="195"/>
        <v>0</v>
      </c>
      <c r="N2023" s="513"/>
      <c r="O2023" s="509">
        <f t="shared" si="196"/>
        <v>0</v>
      </c>
      <c r="P2023" s="509">
        <f t="shared" si="197"/>
        <v>0</v>
      </c>
    </row>
    <row r="2024" spans="3:16">
      <c r="C2024" s="505">
        <f>IF(D1994="","-",+C2023+1)</f>
        <v>2043</v>
      </c>
      <c r="D2024" s="469">
        <f t="shared" si="198"/>
        <v>197295.50678571424</v>
      </c>
      <c r="E2024" s="511">
        <f t="shared" si="199"/>
        <v>10616.798571428571</v>
      </c>
      <c r="F2024" s="511">
        <f t="shared" si="192"/>
        <v>186678.70821428567</v>
      </c>
      <c r="G2024" s="469">
        <f t="shared" si="193"/>
        <v>191987.10749999995</v>
      </c>
      <c r="H2024" s="506">
        <f>+J1995*G2024+E2024</f>
        <v>39408.388423624609</v>
      </c>
      <c r="I2024" s="512">
        <f>+J1996*G2024+E2024</f>
        <v>39408.388423624609</v>
      </c>
      <c r="J2024" s="509">
        <f t="shared" si="194"/>
        <v>0</v>
      </c>
      <c r="K2024" s="509"/>
      <c r="L2024" s="513"/>
      <c r="M2024" s="509">
        <f t="shared" si="195"/>
        <v>0</v>
      </c>
      <c r="N2024" s="513"/>
      <c r="O2024" s="509">
        <f t="shared" si="196"/>
        <v>0</v>
      </c>
      <c r="P2024" s="509">
        <f t="shared" si="197"/>
        <v>0</v>
      </c>
    </row>
    <row r="2025" spans="3:16">
      <c r="C2025" s="505">
        <f>IF(D1994="","-",+C2024+1)</f>
        <v>2044</v>
      </c>
      <c r="D2025" s="469">
        <f t="shared" si="198"/>
        <v>186678.70821428567</v>
      </c>
      <c r="E2025" s="511">
        <f t="shared" si="199"/>
        <v>10616.798571428571</v>
      </c>
      <c r="F2025" s="511">
        <f t="shared" si="192"/>
        <v>176061.90964285709</v>
      </c>
      <c r="G2025" s="469">
        <f t="shared" si="193"/>
        <v>181370.30892857138</v>
      </c>
      <c r="H2025" s="506">
        <f>+J1995*G2025+E2025</f>
        <v>37816.226772811919</v>
      </c>
      <c r="I2025" s="512">
        <f>+J1996*G2025+E2025</f>
        <v>37816.226772811919</v>
      </c>
      <c r="J2025" s="509">
        <f t="shared" si="194"/>
        <v>0</v>
      </c>
      <c r="K2025" s="509"/>
      <c r="L2025" s="513"/>
      <c r="M2025" s="509">
        <f t="shared" si="195"/>
        <v>0</v>
      </c>
      <c r="N2025" s="513"/>
      <c r="O2025" s="509">
        <f t="shared" si="196"/>
        <v>0</v>
      </c>
      <c r="P2025" s="509">
        <f t="shared" si="197"/>
        <v>0</v>
      </c>
    </row>
    <row r="2026" spans="3:16">
      <c r="C2026" s="505">
        <f>IF(D1994="","-",+C2025+1)</f>
        <v>2045</v>
      </c>
      <c r="D2026" s="469">
        <f t="shared" si="198"/>
        <v>176061.90964285709</v>
      </c>
      <c r="E2026" s="511">
        <f t="shared" si="199"/>
        <v>10616.798571428571</v>
      </c>
      <c r="F2026" s="511">
        <f t="shared" si="192"/>
        <v>165445.11107142852</v>
      </c>
      <c r="G2026" s="469">
        <f t="shared" si="193"/>
        <v>170753.5103571428</v>
      </c>
      <c r="H2026" s="506">
        <f>+J1995*G2026+E2026</f>
        <v>36224.065121999243</v>
      </c>
      <c r="I2026" s="512">
        <f>+J1996*G2026+E2026</f>
        <v>36224.065121999243</v>
      </c>
      <c r="J2026" s="509">
        <f t="shared" si="194"/>
        <v>0</v>
      </c>
      <c r="K2026" s="509"/>
      <c r="L2026" s="513"/>
      <c r="M2026" s="509">
        <f t="shared" si="195"/>
        <v>0</v>
      </c>
      <c r="N2026" s="513"/>
      <c r="O2026" s="509">
        <f t="shared" si="196"/>
        <v>0</v>
      </c>
      <c r="P2026" s="509">
        <f t="shared" si="197"/>
        <v>0</v>
      </c>
    </row>
    <row r="2027" spans="3:16">
      <c r="C2027" s="505">
        <f>IF(D1994="","-",+C2026+1)</f>
        <v>2046</v>
      </c>
      <c r="D2027" s="469">
        <f t="shared" si="198"/>
        <v>165445.11107142852</v>
      </c>
      <c r="E2027" s="511">
        <f t="shared" si="199"/>
        <v>10616.798571428571</v>
      </c>
      <c r="F2027" s="511">
        <f t="shared" si="192"/>
        <v>154828.31249999994</v>
      </c>
      <c r="G2027" s="469">
        <f t="shared" si="193"/>
        <v>160136.71178571423</v>
      </c>
      <c r="H2027" s="506">
        <f>+J1995*G2027+E2027</f>
        <v>34631.903471186553</v>
      </c>
      <c r="I2027" s="512">
        <f>+J1996*G2027+E2027</f>
        <v>34631.903471186553</v>
      </c>
      <c r="J2027" s="509">
        <f t="shared" si="194"/>
        <v>0</v>
      </c>
      <c r="K2027" s="509"/>
      <c r="L2027" s="513"/>
      <c r="M2027" s="509">
        <f t="shared" si="195"/>
        <v>0</v>
      </c>
      <c r="N2027" s="513"/>
      <c r="O2027" s="509">
        <f t="shared" si="196"/>
        <v>0</v>
      </c>
      <c r="P2027" s="509">
        <f t="shared" si="197"/>
        <v>0</v>
      </c>
    </row>
    <row r="2028" spans="3:16">
      <c r="C2028" s="505">
        <f>IF(D1994="","-",+C2027+1)</f>
        <v>2047</v>
      </c>
      <c r="D2028" s="469">
        <f t="shared" si="198"/>
        <v>154828.31249999994</v>
      </c>
      <c r="E2028" s="511">
        <f t="shared" si="199"/>
        <v>10616.798571428571</v>
      </c>
      <c r="F2028" s="511">
        <f t="shared" si="192"/>
        <v>144211.51392857137</v>
      </c>
      <c r="G2028" s="469">
        <f t="shared" si="193"/>
        <v>149519.91321428565</v>
      </c>
      <c r="H2028" s="506">
        <f>+J1995*G2028+E2028</f>
        <v>33039.741820373863</v>
      </c>
      <c r="I2028" s="512">
        <f>+J1996*G2028+E2028</f>
        <v>33039.741820373863</v>
      </c>
      <c r="J2028" s="509">
        <f t="shared" si="194"/>
        <v>0</v>
      </c>
      <c r="K2028" s="509"/>
      <c r="L2028" s="513"/>
      <c r="M2028" s="509">
        <f t="shared" si="195"/>
        <v>0</v>
      </c>
      <c r="N2028" s="513"/>
      <c r="O2028" s="509">
        <f t="shared" si="196"/>
        <v>0</v>
      </c>
      <c r="P2028" s="509">
        <f t="shared" si="197"/>
        <v>0</v>
      </c>
    </row>
    <row r="2029" spans="3:16">
      <c r="C2029" s="505">
        <f>IF(D1994="","-",+C2028+1)</f>
        <v>2048</v>
      </c>
      <c r="D2029" s="469">
        <f t="shared" si="198"/>
        <v>144211.51392857137</v>
      </c>
      <c r="E2029" s="511">
        <f t="shared" si="199"/>
        <v>10616.798571428571</v>
      </c>
      <c r="F2029" s="511">
        <f t="shared" si="192"/>
        <v>133594.71535714279</v>
      </c>
      <c r="G2029" s="469">
        <f t="shared" si="193"/>
        <v>138903.11464285708</v>
      </c>
      <c r="H2029" s="506">
        <f>+J1995*G2029+E2029</f>
        <v>31447.580169561184</v>
      </c>
      <c r="I2029" s="512">
        <f>+J1996*G2029+E2029</f>
        <v>31447.580169561184</v>
      </c>
      <c r="J2029" s="509">
        <f t="shared" si="194"/>
        <v>0</v>
      </c>
      <c r="K2029" s="509"/>
      <c r="L2029" s="513"/>
      <c r="M2029" s="509">
        <f t="shared" si="195"/>
        <v>0</v>
      </c>
      <c r="N2029" s="513"/>
      <c r="O2029" s="509">
        <f t="shared" si="196"/>
        <v>0</v>
      </c>
      <c r="P2029" s="509">
        <f t="shared" si="197"/>
        <v>0</v>
      </c>
    </row>
    <row r="2030" spans="3:16">
      <c r="C2030" s="505">
        <f>IF(D1994="","-",+C2029+1)</f>
        <v>2049</v>
      </c>
      <c r="D2030" s="469">
        <f t="shared" si="198"/>
        <v>133594.71535714279</v>
      </c>
      <c r="E2030" s="511">
        <f>IF(D2030&gt;$J$1997,$J$1997,D2030)</f>
        <v>10616.798571428571</v>
      </c>
      <c r="F2030" s="511">
        <f t="shared" si="192"/>
        <v>122977.91678571422</v>
      </c>
      <c r="G2030" s="469">
        <f t="shared" si="193"/>
        <v>128286.3160714285</v>
      </c>
      <c r="H2030" s="506">
        <f>+J1995*G2030+E2030</f>
        <v>29855.418518748498</v>
      </c>
      <c r="I2030" s="512">
        <f>+J1996*G2030+E2030</f>
        <v>29855.418518748498</v>
      </c>
      <c r="J2030" s="509">
        <f t="shared" si="194"/>
        <v>0</v>
      </c>
      <c r="K2030" s="509"/>
      <c r="L2030" s="513"/>
      <c r="M2030" s="509">
        <f t="shared" si="195"/>
        <v>0</v>
      </c>
      <c r="N2030" s="513"/>
      <c r="O2030" s="509">
        <f t="shared" si="196"/>
        <v>0</v>
      </c>
      <c r="P2030" s="509">
        <f t="shared" si="197"/>
        <v>0</v>
      </c>
    </row>
    <row r="2031" spans="3:16">
      <c r="C2031" s="505">
        <f>IF(D1994="","-",+C2030+1)</f>
        <v>2050</v>
      </c>
      <c r="D2031" s="469">
        <f t="shared" si="198"/>
        <v>122977.91678571422</v>
      </c>
      <c r="E2031" s="511">
        <f t="shared" si="199"/>
        <v>10616.798571428571</v>
      </c>
      <c r="F2031" s="511">
        <f t="shared" si="192"/>
        <v>112361.11821428564</v>
      </c>
      <c r="G2031" s="469">
        <f t="shared" si="193"/>
        <v>117669.51749999993</v>
      </c>
      <c r="H2031" s="506">
        <f>+J1995*G2031+E2031</f>
        <v>28263.256867935812</v>
      </c>
      <c r="I2031" s="512">
        <f>+J1996*G2031+E2031</f>
        <v>28263.256867935812</v>
      </c>
      <c r="J2031" s="509">
        <f t="shared" si="194"/>
        <v>0</v>
      </c>
      <c r="K2031" s="509"/>
      <c r="L2031" s="513"/>
      <c r="M2031" s="509">
        <f t="shared" si="195"/>
        <v>0</v>
      </c>
      <c r="N2031" s="513"/>
      <c r="O2031" s="509">
        <f t="shared" si="196"/>
        <v>0</v>
      </c>
      <c r="P2031" s="509">
        <f t="shared" si="197"/>
        <v>0</v>
      </c>
    </row>
    <row r="2032" spans="3:16">
      <c r="C2032" s="505">
        <f>IF(D1994="","-",+C2031+1)</f>
        <v>2051</v>
      </c>
      <c r="D2032" s="469">
        <f t="shared" si="198"/>
        <v>112361.11821428564</v>
      </c>
      <c r="E2032" s="511">
        <f t="shared" si="199"/>
        <v>10616.798571428571</v>
      </c>
      <c r="F2032" s="511">
        <f t="shared" si="192"/>
        <v>101744.31964285707</v>
      </c>
      <c r="G2032" s="469">
        <f t="shared" si="193"/>
        <v>107052.71892857135</v>
      </c>
      <c r="H2032" s="506">
        <f>+J1995*G2032+E2032</f>
        <v>26671.095217123126</v>
      </c>
      <c r="I2032" s="512">
        <f>+J1996*G2032+E2032</f>
        <v>26671.095217123126</v>
      </c>
      <c r="J2032" s="509">
        <f t="shared" si="194"/>
        <v>0</v>
      </c>
      <c r="K2032" s="509"/>
      <c r="L2032" s="513"/>
      <c r="M2032" s="509">
        <f t="shared" si="195"/>
        <v>0</v>
      </c>
      <c r="N2032" s="513"/>
      <c r="O2032" s="509">
        <f t="shared" si="196"/>
        <v>0</v>
      </c>
      <c r="P2032" s="509">
        <f t="shared" si="197"/>
        <v>0</v>
      </c>
    </row>
    <row r="2033" spans="3:16">
      <c r="C2033" s="505">
        <f>IF(D1994="","-",+C2032+1)</f>
        <v>2052</v>
      </c>
      <c r="D2033" s="469">
        <f t="shared" si="198"/>
        <v>101744.31964285707</v>
      </c>
      <c r="E2033" s="511">
        <f t="shared" si="199"/>
        <v>10616.798571428571</v>
      </c>
      <c r="F2033" s="511">
        <f t="shared" si="192"/>
        <v>91127.521071428491</v>
      </c>
      <c r="G2033" s="469">
        <f t="shared" si="193"/>
        <v>96435.920357142779</v>
      </c>
      <c r="H2033" s="506">
        <f>+J1995*G2033+E2033</f>
        <v>25078.933566310443</v>
      </c>
      <c r="I2033" s="512">
        <f>+J1996*G2033+E2033</f>
        <v>25078.933566310443</v>
      </c>
      <c r="J2033" s="509">
        <f t="shared" si="194"/>
        <v>0</v>
      </c>
      <c r="K2033" s="509"/>
      <c r="L2033" s="513"/>
      <c r="M2033" s="509">
        <f t="shared" si="195"/>
        <v>0</v>
      </c>
      <c r="N2033" s="513"/>
      <c r="O2033" s="509">
        <f t="shared" si="196"/>
        <v>0</v>
      </c>
      <c r="P2033" s="509">
        <f t="shared" si="197"/>
        <v>0</v>
      </c>
    </row>
    <row r="2034" spans="3:16">
      <c r="C2034" s="505">
        <f>IF(D1994="","-",+C2033+1)</f>
        <v>2053</v>
      </c>
      <c r="D2034" s="469">
        <f t="shared" si="198"/>
        <v>91127.521071428491</v>
      </c>
      <c r="E2034" s="511">
        <f t="shared" si="199"/>
        <v>10616.798571428571</v>
      </c>
      <c r="F2034" s="511">
        <f t="shared" si="192"/>
        <v>80510.722499999916</v>
      </c>
      <c r="G2034" s="469">
        <f t="shared" si="193"/>
        <v>85819.121785714204</v>
      </c>
      <c r="H2034" s="506">
        <f>+J1995*G2034+E2034</f>
        <v>23486.77191549776</v>
      </c>
      <c r="I2034" s="512">
        <f>+J1996*G2034+E2034</f>
        <v>23486.77191549776</v>
      </c>
      <c r="J2034" s="509">
        <f t="shared" si="194"/>
        <v>0</v>
      </c>
      <c r="K2034" s="509"/>
      <c r="L2034" s="513"/>
      <c r="M2034" s="509">
        <f t="shared" si="195"/>
        <v>0</v>
      </c>
      <c r="N2034" s="513"/>
      <c r="O2034" s="509">
        <f t="shared" si="196"/>
        <v>0</v>
      </c>
      <c r="P2034" s="509">
        <f t="shared" si="197"/>
        <v>0</v>
      </c>
    </row>
    <row r="2035" spans="3:16">
      <c r="C2035" s="505">
        <f>IF(D1994="","-",+C2034+1)</f>
        <v>2054</v>
      </c>
      <c r="D2035" s="469">
        <f t="shared" si="198"/>
        <v>80510.722499999916</v>
      </c>
      <c r="E2035" s="511">
        <f t="shared" si="199"/>
        <v>10616.798571428571</v>
      </c>
      <c r="F2035" s="511">
        <f t="shared" si="192"/>
        <v>69893.923928571341</v>
      </c>
      <c r="G2035" s="469">
        <f t="shared" si="193"/>
        <v>75202.323214285629</v>
      </c>
      <c r="H2035" s="506">
        <f>+J1995*G2035+E2035</f>
        <v>21894.610264685074</v>
      </c>
      <c r="I2035" s="512">
        <f>+J1996*G2035+E2035</f>
        <v>21894.610264685074</v>
      </c>
      <c r="J2035" s="509">
        <f t="shared" si="194"/>
        <v>0</v>
      </c>
      <c r="K2035" s="509"/>
      <c r="L2035" s="513"/>
      <c r="M2035" s="509">
        <f t="shared" si="195"/>
        <v>0</v>
      </c>
      <c r="N2035" s="513"/>
      <c r="O2035" s="509">
        <f t="shared" si="196"/>
        <v>0</v>
      </c>
      <c r="P2035" s="509">
        <f t="shared" si="197"/>
        <v>0</v>
      </c>
    </row>
    <row r="2036" spans="3:16">
      <c r="C2036" s="505">
        <f>IF(D1994="","-",+C2035+1)</f>
        <v>2055</v>
      </c>
      <c r="D2036" s="469">
        <f t="shared" si="198"/>
        <v>69893.923928571341</v>
      </c>
      <c r="E2036" s="511">
        <f t="shared" si="199"/>
        <v>10616.798571428571</v>
      </c>
      <c r="F2036" s="511">
        <f t="shared" si="192"/>
        <v>59277.125357142766</v>
      </c>
      <c r="G2036" s="469">
        <f t="shared" si="193"/>
        <v>64585.524642857054</v>
      </c>
      <c r="H2036" s="506">
        <f>+J1995*G2036+E2036</f>
        <v>20302.448613872388</v>
      </c>
      <c r="I2036" s="512">
        <f>+J1996*G2036+E2036</f>
        <v>20302.448613872388</v>
      </c>
      <c r="J2036" s="509">
        <f t="shared" si="194"/>
        <v>0</v>
      </c>
      <c r="K2036" s="509"/>
      <c r="L2036" s="513"/>
      <c r="M2036" s="509">
        <f t="shared" si="195"/>
        <v>0</v>
      </c>
      <c r="N2036" s="513"/>
      <c r="O2036" s="509">
        <f t="shared" si="196"/>
        <v>0</v>
      </c>
      <c r="P2036" s="509">
        <f t="shared" si="197"/>
        <v>0</v>
      </c>
    </row>
    <row r="2037" spans="3:16">
      <c r="C2037" s="505">
        <f>IF(D1994="","-",+C2036+1)</f>
        <v>2056</v>
      </c>
      <c r="D2037" s="469">
        <f t="shared" si="198"/>
        <v>59277.125357142766</v>
      </c>
      <c r="E2037" s="511">
        <f t="shared" si="199"/>
        <v>10616.798571428571</v>
      </c>
      <c r="F2037" s="511">
        <f t="shared" si="192"/>
        <v>48660.326785714191</v>
      </c>
      <c r="G2037" s="469">
        <f t="shared" si="193"/>
        <v>53968.726071428478</v>
      </c>
      <c r="H2037" s="506">
        <f>+J1995*G2037+E2037</f>
        <v>18710.286963059705</v>
      </c>
      <c r="I2037" s="512">
        <f>+J1996*G2037+E2037</f>
        <v>18710.286963059705</v>
      </c>
      <c r="J2037" s="509">
        <f t="shared" si="194"/>
        <v>0</v>
      </c>
      <c r="K2037" s="509"/>
      <c r="L2037" s="513"/>
      <c r="M2037" s="509">
        <f t="shared" si="195"/>
        <v>0</v>
      </c>
      <c r="N2037" s="513"/>
      <c r="O2037" s="509">
        <f t="shared" si="196"/>
        <v>0</v>
      </c>
      <c r="P2037" s="509">
        <f t="shared" si="197"/>
        <v>0</v>
      </c>
    </row>
    <row r="2038" spans="3:16">
      <c r="C2038" s="505">
        <f>IF(D1994="","-",+C2037+1)</f>
        <v>2057</v>
      </c>
      <c r="D2038" s="469">
        <f t="shared" si="198"/>
        <v>48660.326785714191</v>
      </c>
      <c r="E2038" s="511">
        <f t="shared" si="199"/>
        <v>10616.798571428571</v>
      </c>
      <c r="F2038" s="511">
        <f t="shared" si="192"/>
        <v>38043.528214285616</v>
      </c>
      <c r="G2038" s="469">
        <f t="shared" si="193"/>
        <v>43351.927499999903</v>
      </c>
      <c r="H2038" s="506">
        <f>+J1995*G2038+E2038</f>
        <v>17118.125312247019</v>
      </c>
      <c r="I2038" s="512">
        <f>+J1996*G2038+E2038</f>
        <v>17118.125312247019</v>
      </c>
      <c r="J2038" s="509">
        <f t="shared" si="194"/>
        <v>0</v>
      </c>
      <c r="K2038" s="509"/>
      <c r="L2038" s="513"/>
      <c r="M2038" s="509">
        <f t="shared" si="195"/>
        <v>0</v>
      </c>
      <c r="N2038" s="513"/>
      <c r="O2038" s="509">
        <f t="shared" si="196"/>
        <v>0</v>
      </c>
      <c r="P2038" s="509">
        <f t="shared" si="197"/>
        <v>0</v>
      </c>
    </row>
    <row r="2039" spans="3:16">
      <c r="C2039" s="505">
        <f>IF(D1994="","-",+C2038+1)</f>
        <v>2058</v>
      </c>
      <c r="D2039" s="469">
        <f t="shared" si="198"/>
        <v>38043.528214285616</v>
      </c>
      <c r="E2039" s="511">
        <f t="shared" si="199"/>
        <v>10616.798571428571</v>
      </c>
      <c r="F2039" s="511">
        <f t="shared" si="192"/>
        <v>27426.729642857044</v>
      </c>
      <c r="G2039" s="469">
        <f t="shared" si="193"/>
        <v>32735.128928571328</v>
      </c>
      <c r="H2039" s="506">
        <f>+J1995*G2039+E2039</f>
        <v>15525.963661434333</v>
      </c>
      <c r="I2039" s="512">
        <f>+J1996*G2039+E2039</f>
        <v>15525.963661434333</v>
      </c>
      <c r="J2039" s="509">
        <f t="shared" si="194"/>
        <v>0</v>
      </c>
      <c r="K2039" s="509"/>
      <c r="L2039" s="513"/>
      <c r="M2039" s="509">
        <f t="shared" si="195"/>
        <v>0</v>
      </c>
      <c r="N2039" s="513"/>
      <c r="O2039" s="509">
        <f t="shared" si="196"/>
        <v>0</v>
      </c>
      <c r="P2039" s="509">
        <f t="shared" si="197"/>
        <v>0</v>
      </c>
    </row>
    <row r="2040" spans="3:16">
      <c r="C2040" s="505">
        <f>IF(D1994="","-",+C2039+1)</f>
        <v>2059</v>
      </c>
      <c r="D2040" s="469">
        <f t="shared" si="198"/>
        <v>27426.729642857044</v>
      </c>
      <c r="E2040" s="511">
        <f t="shared" si="199"/>
        <v>10616.798571428571</v>
      </c>
      <c r="F2040" s="511">
        <f t="shared" si="192"/>
        <v>16809.931071428473</v>
      </c>
      <c r="G2040" s="469">
        <f t="shared" si="193"/>
        <v>22118.33035714276</v>
      </c>
      <c r="H2040" s="506">
        <f>+J1995*G2040+E2040</f>
        <v>13933.80201062165</v>
      </c>
      <c r="I2040" s="512">
        <f>+J1996*G2040+E2040</f>
        <v>13933.80201062165</v>
      </c>
      <c r="J2040" s="509">
        <f t="shared" si="194"/>
        <v>0</v>
      </c>
      <c r="K2040" s="509"/>
      <c r="L2040" s="513"/>
      <c r="M2040" s="509">
        <f t="shared" si="195"/>
        <v>0</v>
      </c>
      <c r="N2040" s="513"/>
      <c r="O2040" s="509">
        <f t="shared" si="196"/>
        <v>0</v>
      </c>
      <c r="P2040" s="509">
        <f t="shared" si="197"/>
        <v>0</v>
      </c>
    </row>
    <row r="2041" spans="3:16">
      <c r="C2041" s="505">
        <f>IF(D1994="","-",+C2040+1)</f>
        <v>2060</v>
      </c>
      <c r="D2041" s="469">
        <f t="shared" si="198"/>
        <v>16809.931071428473</v>
      </c>
      <c r="E2041" s="511">
        <f t="shared" si="199"/>
        <v>10616.798571428571</v>
      </c>
      <c r="F2041" s="511">
        <f t="shared" si="192"/>
        <v>6193.1324999999015</v>
      </c>
      <c r="G2041" s="469">
        <f t="shared" si="193"/>
        <v>11501.531785714187</v>
      </c>
      <c r="H2041" s="506">
        <f>+J1995*G2041+E2041</f>
        <v>12341.640359808966</v>
      </c>
      <c r="I2041" s="512">
        <f>+J1996*G2041+E2041</f>
        <v>12341.640359808966</v>
      </c>
      <c r="J2041" s="509">
        <f t="shared" si="194"/>
        <v>0</v>
      </c>
      <c r="K2041" s="509"/>
      <c r="L2041" s="513"/>
      <c r="M2041" s="509">
        <f t="shared" si="195"/>
        <v>0</v>
      </c>
      <c r="N2041" s="513"/>
      <c r="O2041" s="509">
        <f t="shared" si="196"/>
        <v>0</v>
      </c>
      <c r="P2041" s="509">
        <f t="shared" si="197"/>
        <v>0</v>
      </c>
    </row>
    <row r="2042" spans="3:16">
      <c r="C2042" s="505">
        <f>IF(D1994="","-",+C2041+1)</f>
        <v>2061</v>
      </c>
      <c r="D2042" s="469">
        <f t="shared" si="198"/>
        <v>6193.1324999999015</v>
      </c>
      <c r="E2042" s="511">
        <f t="shared" si="199"/>
        <v>6193.1324999999015</v>
      </c>
      <c r="F2042" s="511">
        <f t="shared" si="192"/>
        <v>0</v>
      </c>
      <c r="G2042" s="469">
        <f t="shared" si="193"/>
        <v>3096.5662499999507</v>
      </c>
      <c r="H2042" s="506">
        <f>+J1995*G2042+E2042</f>
        <v>6657.5129814869269</v>
      </c>
      <c r="I2042" s="512">
        <f>+J1996*G2042+E2042</f>
        <v>6657.5129814869269</v>
      </c>
      <c r="J2042" s="509">
        <f t="shared" si="194"/>
        <v>0</v>
      </c>
      <c r="K2042" s="509"/>
      <c r="L2042" s="513"/>
      <c r="M2042" s="509">
        <f t="shared" si="195"/>
        <v>0</v>
      </c>
      <c r="N2042" s="513"/>
      <c r="O2042" s="509">
        <f t="shared" si="196"/>
        <v>0</v>
      </c>
      <c r="P2042" s="509">
        <f t="shared" si="197"/>
        <v>0</v>
      </c>
    </row>
    <row r="2043" spans="3:16">
      <c r="C2043" s="505">
        <f>IF(D1994="","-",+C2042+1)</f>
        <v>2062</v>
      </c>
      <c r="D2043" s="469">
        <f t="shared" si="198"/>
        <v>0</v>
      </c>
      <c r="E2043" s="511">
        <f t="shared" si="199"/>
        <v>0</v>
      </c>
      <c r="F2043" s="511">
        <f t="shared" si="192"/>
        <v>0</v>
      </c>
      <c r="G2043" s="469">
        <f t="shared" si="193"/>
        <v>0</v>
      </c>
      <c r="H2043" s="506">
        <f>+J1995*G2043+E2043</f>
        <v>0</v>
      </c>
      <c r="I2043" s="512">
        <f>+J1996*G2043+E2043</f>
        <v>0</v>
      </c>
      <c r="J2043" s="509">
        <f t="shared" si="194"/>
        <v>0</v>
      </c>
      <c r="K2043" s="509"/>
      <c r="L2043" s="513"/>
      <c r="M2043" s="509">
        <f t="shared" si="195"/>
        <v>0</v>
      </c>
      <c r="N2043" s="513"/>
      <c r="O2043" s="509">
        <f t="shared" si="196"/>
        <v>0</v>
      </c>
      <c r="P2043" s="509">
        <f t="shared" si="197"/>
        <v>0</v>
      </c>
    </row>
    <row r="2044" spans="3:16">
      <c r="C2044" s="505">
        <f>IF(D1994="","-",+C2043+1)</f>
        <v>2063</v>
      </c>
      <c r="D2044" s="469">
        <f t="shared" si="198"/>
        <v>0</v>
      </c>
      <c r="E2044" s="511">
        <f t="shared" si="199"/>
        <v>0</v>
      </c>
      <c r="F2044" s="511">
        <f t="shared" si="192"/>
        <v>0</v>
      </c>
      <c r="G2044" s="469">
        <f t="shared" si="193"/>
        <v>0</v>
      </c>
      <c r="H2044" s="506">
        <f>+J1995*G2044+E2044</f>
        <v>0</v>
      </c>
      <c r="I2044" s="512">
        <f>+J1996*G2044+E2044</f>
        <v>0</v>
      </c>
      <c r="J2044" s="509">
        <f t="shared" si="194"/>
        <v>0</v>
      </c>
      <c r="K2044" s="509"/>
      <c r="L2044" s="513"/>
      <c r="M2044" s="509">
        <f t="shared" si="195"/>
        <v>0</v>
      </c>
      <c r="N2044" s="513"/>
      <c r="O2044" s="509">
        <f t="shared" si="196"/>
        <v>0</v>
      </c>
      <c r="P2044" s="509">
        <f t="shared" si="197"/>
        <v>0</v>
      </c>
    </row>
    <row r="2045" spans="3:16">
      <c r="C2045" s="505">
        <f>IF(D1994="","-",+C2044+1)</f>
        <v>2064</v>
      </c>
      <c r="D2045" s="469">
        <f t="shared" si="198"/>
        <v>0</v>
      </c>
      <c r="E2045" s="511">
        <f t="shared" si="199"/>
        <v>0</v>
      </c>
      <c r="F2045" s="511">
        <f t="shared" si="192"/>
        <v>0</v>
      </c>
      <c r="G2045" s="469">
        <f t="shared" si="193"/>
        <v>0</v>
      </c>
      <c r="H2045" s="506">
        <f>+J1995*G2045+E2045</f>
        <v>0</v>
      </c>
      <c r="I2045" s="512">
        <f>+J1996*G2045+E2045</f>
        <v>0</v>
      </c>
      <c r="J2045" s="509">
        <f t="shared" si="194"/>
        <v>0</v>
      </c>
      <c r="K2045" s="509"/>
      <c r="L2045" s="513"/>
      <c r="M2045" s="509">
        <f t="shared" si="195"/>
        <v>0</v>
      </c>
      <c r="N2045" s="513"/>
      <c r="O2045" s="509">
        <f t="shared" si="196"/>
        <v>0</v>
      </c>
      <c r="P2045" s="509">
        <f t="shared" si="197"/>
        <v>0</v>
      </c>
    </row>
    <row r="2046" spans="3:16">
      <c r="C2046" s="505">
        <f>IF(D1994="","-",+C2045+1)</f>
        <v>2065</v>
      </c>
      <c r="D2046" s="469">
        <f t="shared" si="198"/>
        <v>0</v>
      </c>
      <c r="E2046" s="511">
        <f t="shared" si="199"/>
        <v>0</v>
      </c>
      <c r="F2046" s="511">
        <f t="shared" si="192"/>
        <v>0</v>
      </c>
      <c r="G2046" s="469">
        <f t="shared" si="193"/>
        <v>0</v>
      </c>
      <c r="H2046" s="506">
        <f>+J1995*G2046+E2046</f>
        <v>0</v>
      </c>
      <c r="I2046" s="512">
        <f>+J1996*G2046+E2046</f>
        <v>0</v>
      </c>
      <c r="J2046" s="509">
        <f t="shared" si="194"/>
        <v>0</v>
      </c>
      <c r="K2046" s="509"/>
      <c r="L2046" s="513"/>
      <c r="M2046" s="509">
        <f t="shared" si="195"/>
        <v>0</v>
      </c>
      <c r="N2046" s="513"/>
      <c r="O2046" s="509">
        <f t="shared" si="196"/>
        <v>0</v>
      </c>
      <c r="P2046" s="509">
        <f t="shared" si="197"/>
        <v>0</v>
      </c>
    </row>
    <row r="2047" spans="3:16">
      <c r="C2047" s="505">
        <f>IF(D1994="","-",+C2046+1)</f>
        <v>2066</v>
      </c>
      <c r="D2047" s="469">
        <f t="shared" si="198"/>
        <v>0</v>
      </c>
      <c r="E2047" s="511">
        <f t="shared" si="199"/>
        <v>0</v>
      </c>
      <c r="F2047" s="511">
        <f t="shared" si="192"/>
        <v>0</v>
      </c>
      <c r="G2047" s="469">
        <f t="shared" si="193"/>
        <v>0</v>
      </c>
      <c r="H2047" s="506">
        <f>+J1995*G2047+E2047</f>
        <v>0</v>
      </c>
      <c r="I2047" s="512">
        <f>+J1996*G2047+E2047</f>
        <v>0</v>
      </c>
      <c r="J2047" s="509">
        <f t="shared" si="194"/>
        <v>0</v>
      </c>
      <c r="K2047" s="509"/>
      <c r="L2047" s="513"/>
      <c r="M2047" s="509">
        <f t="shared" si="195"/>
        <v>0</v>
      </c>
      <c r="N2047" s="513"/>
      <c r="O2047" s="509">
        <f t="shared" si="196"/>
        <v>0</v>
      </c>
      <c r="P2047" s="509">
        <f t="shared" si="197"/>
        <v>0</v>
      </c>
    </row>
    <row r="2048" spans="3:16">
      <c r="C2048" s="505">
        <f>IF(D1994="","-",+C2047+1)</f>
        <v>2067</v>
      </c>
      <c r="D2048" s="469">
        <f t="shared" si="198"/>
        <v>0</v>
      </c>
      <c r="E2048" s="511">
        <f t="shared" si="199"/>
        <v>0</v>
      </c>
      <c r="F2048" s="511">
        <f t="shared" si="192"/>
        <v>0</v>
      </c>
      <c r="G2048" s="469">
        <f t="shared" si="193"/>
        <v>0</v>
      </c>
      <c r="H2048" s="506">
        <f>+J1995*G2048+E2048</f>
        <v>0</v>
      </c>
      <c r="I2048" s="512">
        <f>+J1996*G2048+E2048</f>
        <v>0</v>
      </c>
      <c r="J2048" s="509">
        <f t="shared" si="194"/>
        <v>0</v>
      </c>
      <c r="K2048" s="509"/>
      <c r="L2048" s="513"/>
      <c r="M2048" s="509">
        <f t="shared" si="195"/>
        <v>0</v>
      </c>
      <c r="N2048" s="513"/>
      <c r="O2048" s="509">
        <f t="shared" si="196"/>
        <v>0</v>
      </c>
      <c r="P2048" s="509">
        <f t="shared" si="197"/>
        <v>0</v>
      </c>
    </row>
    <row r="2049" spans="3:16">
      <c r="C2049" s="505">
        <f>IF(D1994="","-",+C2048+1)</f>
        <v>2068</v>
      </c>
      <c r="D2049" s="469">
        <f t="shared" si="198"/>
        <v>0</v>
      </c>
      <c r="E2049" s="511">
        <f t="shared" si="199"/>
        <v>0</v>
      </c>
      <c r="F2049" s="511">
        <f t="shared" si="192"/>
        <v>0</v>
      </c>
      <c r="G2049" s="469">
        <f t="shared" si="193"/>
        <v>0</v>
      </c>
      <c r="H2049" s="506">
        <f>+J1995*G2049+E2049</f>
        <v>0</v>
      </c>
      <c r="I2049" s="512">
        <f>+J1996*G2049+E2049</f>
        <v>0</v>
      </c>
      <c r="J2049" s="509">
        <f t="shared" si="194"/>
        <v>0</v>
      </c>
      <c r="K2049" s="509"/>
      <c r="L2049" s="513"/>
      <c r="M2049" s="509">
        <f t="shared" si="195"/>
        <v>0</v>
      </c>
      <c r="N2049" s="513"/>
      <c r="O2049" s="509">
        <f t="shared" si="196"/>
        <v>0</v>
      </c>
      <c r="P2049" s="509">
        <f t="shared" si="197"/>
        <v>0</v>
      </c>
    </row>
    <row r="2050" spans="3:16">
      <c r="C2050" s="505">
        <f>IF(D1994="","-",+C2049+1)</f>
        <v>2069</v>
      </c>
      <c r="D2050" s="469">
        <f t="shared" si="198"/>
        <v>0</v>
      </c>
      <c r="E2050" s="511">
        <f t="shared" si="199"/>
        <v>0</v>
      </c>
      <c r="F2050" s="511">
        <f t="shared" si="192"/>
        <v>0</v>
      </c>
      <c r="G2050" s="469">
        <f t="shared" si="193"/>
        <v>0</v>
      </c>
      <c r="H2050" s="506">
        <f>+J1995*G2050+E2050</f>
        <v>0</v>
      </c>
      <c r="I2050" s="512">
        <f>+J1996*G2050+E2050</f>
        <v>0</v>
      </c>
      <c r="J2050" s="509">
        <f t="shared" si="194"/>
        <v>0</v>
      </c>
      <c r="K2050" s="509"/>
      <c r="L2050" s="513"/>
      <c r="M2050" s="509">
        <f t="shared" si="195"/>
        <v>0</v>
      </c>
      <c r="N2050" s="513"/>
      <c r="O2050" s="509">
        <f t="shared" si="196"/>
        <v>0</v>
      </c>
      <c r="P2050" s="509">
        <f t="shared" si="197"/>
        <v>0</v>
      </c>
    </row>
    <row r="2051" spans="3:16">
      <c r="C2051" s="505">
        <f>IF(D1994="","-",+C2050+1)</f>
        <v>2070</v>
      </c>
      <c r="D2051" s="469">
        <f t="shared" si="198"/>
        <v>0</v>
      </c>
      <c r="E2051" s="511">
        <f>IF(D2051&gt;$J$1997,$J$1997,D2051)</f>
        <v>0</v>
      </c>
      <c r="F2051" s="511">
        <f t="shared" si="192"/>
        <v>0</v>
      </c>
      <c r="G2051" s="469">
        <f t="shared" si="193"/>
        <v>0</v>
      </c>
      <c r="H2051" s="506">
        <f>+J1995*G2051+E2051</f>
        <v>0</v>
      </c>
      <c r="I2051" s="512">
        <f>+J1996*G2051+E2051</f>
        <v>0</v>
      </c>
      <c r="J2051" s="509">
        <f t="shared" si="194"/>
        <v>0</v>
      </c>
      <c r="K2051" s="509"/>
      <c r="L2051" s="513"/>
      <c r="M2051" s="509">
        <f t="shared" si="195"/>
        <v>0</v>
      </c>
      <c r="N2051" s="513"/>
      <c r="O2051" s="509">
        <f t="shared" si="196"/>
        <v>0</v>
      </c>
      <c r="P2051" s="509">
        <f t="shared" si="197"/>
        <v>0</v>
      </c>
    </row>
    <row r="2052" spans="3:16">
      <c r="C2052" s="505">
        <f>IF(D1994="","-",+C2051+1)</f>
        <v>2071</v>
      </c>
      <c r="D2052" s="469">
        <f t="shared" si="198"/>
        <v>0</v>
      </c>
      <c r="E2052" s="511">
        <f t="shared" si="199"/>
        <v>0</v>
      </c>
      <c r="F2052" s="511">
        <f t="shared" si="192"/>
        <v>0</v>
      </c>
      <c r="G2052" s="469">
        <f t="shared" si="193"/>
        <v>0</v>
      </c>
      <c r="H2052" s="506">
        <f>+J1995*G2052+E2052</f>
        <v>0</v>
      </c>
      <c r="I2052" s="512">
        <f>+J1996*G2052+E2052</f>
        <v>0</v>
      </c>
      <c r="J2052" s="509">
        <f t="shared" si="194"/>
        <v>0</v>
      </c>
      <c r="K2052" s="509"/>
      <c r="L2052" s="513"/>
      <c r="M2052" s="509">
        <f t="shared" si="195"/>
        <v>0</v>
      </c>
      <c r="N2052" s="513"/>
      <c r="O2052" s="509">
        <f t="shared" si="196"/>
        <v>0</v>
      </c>
      <c r="P2052" s="509">
        <f t="shared" si="197"/>
        <v>0</v>
      </c>
    </row>
    <row r="2053" spans="3:16">
      <c r="C2053" s="505">
        <f>IF(D1994="","-",+C2052+1)</f>
        <v>2072</v>
      </c>
      <c r="D2053" s="469">
        <f t="shared" si="198"/>
        <v>0</v>
      </c>
      <c r="E2053" s="511">
        <f t="shared" si="199"/>
        <v>0</v>
      </c>
      <c r="F2053" s="511">
        <f t="shared" si="192"/>
        <v>0</v>
      </c>
      <c r="G2053" s="469">
        <f t="shared" si="193"/>
        <v>0</v>
      </c>
      <c r="H2053" s="506">
        <f>+J1995*G2053+E2053</f>
        <v>0</v>
      </c>
      <c r="I2053" s="512">
        <f>+J1996*G2053+E2053</f>
        <v>0</v>
      </c>
      <c r="J2053" s="509">
        <f t="shared" si="194"/>
        <v>0</v>
      </c>
      <c r="K2053" s="509"/>
      <c r="L2053" s="513"/>
      <c r="M2053" s="509">
        <f t="shared" si="195"/>
        <v>0</v>
      </c>
      <c r="N2053" s="513"/>
      <c r="O2053" s="509">
        <f t="shared" si="196"/>
        <v>0</v>
      </c>
      <c r="P2053" s="509">
        <f t="shared" si="197"/>
        <v>0</v>
      </c>
    </row>
    <row r="2054" spans="3:16">
      <c r="C2054" s="505">
        <f>IF(D1994="","-",+C2053+1)</f>
        <v>2073</v>
      </c>
      <c r="D2054" s="469">
        <f t="shared" si="198"/>
        <v>0</v>
      </c>
      <c r="E2054" s="511">
        <f t="shared" si="199"/>
        <v>0</v>
      </c>
      <c r="F2054" s="511">
        <f t="shared" si="192"/>
        <v>0</v>
      </c>
      <c r="G2054" s="469">
        <f t="shared" si="193"/>
        <v>0</v>
      </c>
      <c r="H2054" s="506">
        <f>+J1995*G2054+E2054</f>
        <v>0</v>
      </c>
      <c r="I2054" s="512">
        <f>+J1996*G2054+E2054</f>
        <v>0</v>
      </c>
      <c r="J2054" s="509">
        <f t="shared" si="194"/>
        <v>0</v>
      </c>
      <c r="K2054" s="509"/>
      <c r="L2054" s="513"/>
      <c r="M2054" s="509">
        <f t="shared" si="195"/>
        <v>0</v>
      </c>
      <c r="N2054" s="513"/>
      <c r="O2054" s="509">
        <f t="shared" si="196"/>
        <v>0</v>
      </c>
      <c r="P2054" s="509">
        <f t="shared" si="197"/>
        <v>0</v>
      </c>
    </row>
    <row r="2055" spans="3:16">
      <c r="C2055" s="505">
        <f>IF(D1994="","-",+C2054+1)</f>
        <v>2074</v>
      </c>
      <c r="D2055" s="469">
        <f t="shared" si="198"/>
        <v>0</v>
      </c>
      <c r="E2055" s="511">
        <f t="shared" si="199"/>
        <v>0</v>
      </c>
      <c r="F2055" s="511">
        <f t="shared" si="192"/>
        <v>0</v>
      </c>
      <c r="G2055" s="469">
        <f t="shared" si="193"/>
        <v>0</v>
      </c>
      <c r="H2055" s="506">
        <f>+J1995*G2055+E2055</f>
        <v>0</v>
      </c>
      <c r="I2055" s="512">
        <f>+J1996*G2055+E2055</f>
        <v>0</v>
      </c>
      <c r="J2055" s="509">
        <f t="shared" si="194"/>
        <v>0</v>
      </c>
      <c r="K2055" s="509"/>
      <c r="L2055" s="513"/>
      <c r="M2055" s="509">
        <f t="shared" si="195"/>
        <v>0</v>
      </c>
      <c r="N2055" s="513"/>
      <c r="O2055" s="509">
        <f t="shared" si="196"/>
        <v>0</v>
      </c>
      <c r="P2055" s="509">
        <f t="shared" si="197"/>
        <v>0</v>
      </c>
    </row>
    <row r="2056" spans="3:16">
      <c r="C2056" s="505">
        <f>IF(D1994="","-",+C2055+1)</f>
        <v>2075</v>
      </c>
      <c r="D2056" s="469">
        <f t="shared" si="198"/>
        <v>0</v>
      </c>
      <c r="E2056" s="511">
        <f t="shared" si="199"/>
        <v>0</v>
      </c>
      <c r="F2056" s="511">
        <f t="shared" si="192"/>
        <v>0</v>
      </c>
      <c r="G2056" s="469">
        <f t="shared" si="193"/>
        <v>0</v>
      </c>
      <c r="H2056" s="506">
        <f>+J1995*G2056+E2056</f>
        <v>0</v>
      </c>
      <c r="I2056" s="512">
        <f>+J1996*G2056+E2056</f>
        <v>0</v>
      </c>
      <c r="J2056" s="509">
        <f t="shared" si="194"/>
        <v>0</v>
      </c>
      <c r="K2056" s="509"/>
      <c r="L2056" s="513"/>
      <c r="M2056" s="509">
        <f t="shared" si="195"/>
        <v>0</v>
      </c>
      <c r="N2056" s="513"/>
      <c r="O2056" s="509">
        <f t="shared" si="196"/>
        <v>0</v>
      </c>
      <c r="P2056" s="509">
        <f t="shared" si="197"/>
        <v>0</v>
      </c>
    </row>
    <row r="2057" spans="3:16">
      <c r="C2057" s="505">
        <f>IF(D1994="","-",+C2056+1)</f>
        <v>2076</v>
      </c>
      <c r="D2057" s="469">
        <f t="shared" si="198"/>
        <v>0</v>
      </c>
      <c r="E2057" s="511">
        <f t="shared" si="199"/>
        <v>0</v>
      </c>
      <c r="F2057" s="511">
        <f t="shared" si="192"/>
        <v>0</v>
      </c>
      <c r="G2057" s="469">
        <f t="shared" si="193"/>
        <v>0</v>
      </c>
      <c r="H2057" s="506">
        <f>+J1995*G2057+E2057</f>
        <v>0</v>
      </c>
      <c r="I2057" s="512">
        <f>+J1996*G2057+E2057</f>
        <v>0</v>
      </c>
      <c r="J2057" s="509">
        <f t="shared" si="194"/>
        <v>0</v>
      </c>
      <c r="K2057" s="509"/>
      <c r="L2057" s="513"/>
      <c r="M2057" s="509">
        <f t="shared" si="195"/>
        <v>0</v>
      </c>
      <c r="N2057" s="513"/>
      <c r="O2057" s="509">
        <f t="shared" si="196"/>
        <v>0</v>
      </c>
      <c r="P2057" s="509">
        <f t="shared" si="197"/>
        <v>0</v>
      </c>
    </row>
    <row r="2058" spans="3:16">
      <c r="C2058" s="505">
        <f>IF(D1994="","-",+C2057+1)</f>
        <v>2077</v>
      </c>
      <c r="D2058" s="469">
        <f t="shared" si="198"/>
        <v>0</v>
      </c>
      <c r="E2058" s="511">
        <f t="shared" si="199"/>
        <v>0</v>
      </c>
      <c r="F2058" s="511">
        <f t="shared" si="192"/>
        <v>0</v>
      </c>
      <c r="G2058" s="469">
        <f t="shared" si="193"/>
        <v>0</v>
      </c>
      <c r="H2058" s="506">
        <f>+J1995*G2058+E2058</f>
        <v>0</v>
      </c>
      <c r="I2058" s="512">
        <f>+J1996*G2058+E2058</f>
        <v>0</v>
      </c>
      <c r="J2058" s="509">
        <f t="shared" si="194"/>
        <v>0</v>
      </c>
      <c r="K2058" s="509"/>
      <c r="L2058" s="513"/>
      <c r="M2058" s="509">
        <f t="shared" si="195"/>
        <v>0</v>
      </c>
      <c r="N2058" s="513"/>
      <c r="O2058" s="509">
        <f t="shared" si="196"/>
        <v>0</v>
      </c>
      <c r="P2058" s="509">
        <f t="shared" si="197"/>
        <v>0</v>
      </c>
    </row>
    <row r="2059" spans="3:16" ht="13.5" thickBot="1">
      <c r="C2059" s="515">
        <f>IF(D1994="","-",+C2058+1)</f>
        <v>2078</v>
      </c>
      <c r="D2059" s="516">
        <f t="shared" si="198"/>
        <v>0</v>
      </c>
      <c r="E2059" s="517">
        <f t="shared" si="199"/>
        <v>0</v>
      </c>
      <c r="F2059" s="517">
        <f t="shared" si="192"/>
        <v>0</v>
      </c>
      <c r="G2059" s="516">
        <f t="shared" si="193"/>
        <v>0</v>
      </c>
      <c r="H2059" s="518">
        <f>+J1995*G2059+E2059</f>
        <v>0</v>
      </c>
      <c r="I2059" s="518">
        <f>+J1996*G2059+E2059</f>
        <v>0</v>
      </c>
      <c r="J2059" s="519">
        <f t="shared" si="194"/>
        <v>0</v>
      </c>
      <c r="K2059" s="509"/>
      <c r="L2059" s="520"/>
      <c r="M2059" s="519">
        <f t="shared" si="195"/>
        <v>0</v>
      </c>
      <c r="N2059" s="520"/>
      <c r="O2059" s="519">
        <f t="shared" si="196"/>
        <v>0</v>
      </c>
      <c r="P2059" s="519">
        <f t="shared" si="197"/>
        <v>0</v>
      </c>
    </row>
    <row r="2060" spans="3:16">
      <c r="C2060" s="469" t="s">
        <v>288</v>
      </c>
      <c r="D2060" s="467"/>
      <c r="E2060" s="467">
        <f>SUM(E2000:E2059)</f>
        <v>445905.54</v>
      </c>
      <c r="F2060" s="467"/>
      <c r="G2060" s="467"/>
      <c r="H2060" s="467">
        <f>SUM(H2000:H2059)</f>
        <v>1889200.0764616984</v>
      </c>
      <c r="I2060" s="467">
        <f>SUM(I2000:I2059)</f>
        <v>1889200.0764616984</v>
      </c>
      <c r="J2060" s="467">
        <f>SUM(J2000:J2059)</f>
        <v>0</v>
      </c>
      <c r="K2060" s="467"/>
      <c r="L2060" s="467"/>
      <c r="M2060" s="467"/>
      <c r="N2060" s="467"/>
      <c r="O2060" s="467"/>
    </row>
    <row r="2061" spans="3:16">
      <c r="D2061" s="79"/>
      <c r="E2061" s="4"/>
      <c r="F2061" s="4"/>
      <c r="G2061" s="4"/>
      <c r="H2061" s="4"/>
      <c r="I2061" s="452"/>
      <c r="J2061" s="452"/>
      <c r="K2061" s="467"/>
      <c r="L2061" s="452"/>
      <c r="M2061" s="452"/>
      <c r="N2061" s="452"/>
      <c r="O2061" s="452"/>
    </row>
    <row r="2062" spans="3:16">
      <c r="C2062" s="4" t="s">
        <v>595</v>
      </c>
      <c r="D2062" s="79"/>
      <c r="E2062" s="4"/>
      <c r="F2062" s="4"/>
      <c r="G2062" s="4"/>
      <c r="H2062" s="4"/>
      <c r="I2062" s="452"/>
      <c r="J2062" s="452"/>
      <c r="K2062" s="467"/>
      <c r="L2062" s="452"/>
      <c r="M2062" s="452"/>
      <c r="N2062" s="452"/>
      <c r="O2062" s="452"/>
    </row>
    <row r="2063" spans="3:16">
      <c r="D2063" s="79"/>
      <c r="E2063" s="4"/>
      <c r="F2063" s="4"/>
      <c r="G2063" s="4"/>
      <c r="H2063" s="4"/>
      <c r="I2063" s="452"/>
      <c r="J2063" s="452"/>
      <c r="K2063" s="467"/>
      <c r="L2063" s="452"/>
      <c r="M2063" s="452"/>
      <c r="N2063" s="452"/>
      <c r="O2063" s="452"/>
    </row>
    <row r="2064" spans="3:16">
      <c r="C2064" s="4" t="s">
        <v>596</v>
      </c>
      <c r="D2064" s="469"/>
      <c r="E2064" s="469"/>
      <c r="F2064" s="469"/>
      <c r="G2064" s="469"/>
      <c r="H2064" s="467"/>
      <c r="I2064" s="467"/>
      <c r="J2064" s="471"/>
      <c r="K2064" s="471"/>
      <c r="L2064" s="471"/>
      <c r="M2064" s="471"/>
      <c r="N2064" s="471"/>
      <c r="O2064" s="471"/>
    </row>
    <row r="2065" spans="3:15">
      <c r="C2065" s="4" t="s">
        <v>476</v>
      </c>
      <c r="D2065" s="469"/>
      <c r="E2065" s="469"/>
      <c r="F2065" s="469"/>
      <c r="G2065" s="469"/>
      <c r="H2065" s="467"/>
      <c r="I2065" s="467"/>
      <c r="J2065" s="471"/>
      <c r="K2065" s="471"/>
      <c r="L2065" s="471"/>
      <c r="M2065" s="471"/>
      <c r="N2065" s="471"/>
      <c r="O2065" s="471"/>
    </row>
    <row r="2066" spans="3:15">
      <c r="C2066" s="4" t="s">
        <v>289</v>
      </c>
      <c r="D2066" s="469"/>
      <c r="E2066" s="469"/>
      <c r="F2066" s="469"/>
      <c r="G2066" s="469"/>
      <c r="H2066" s="467"/>
      <c r="I2066" s="467"/>
      <c r="J2066" s="471"/>
      <c r="K2066" s="471"/>
      <c r="L2066" s="471"/>
      <c r="M2066" s="471"/>
      <c r="N2066" s="471"/>
      <c r="O2066" s="471"/>
    </row>
  </sheetData>
  <mergeCells count="64">
    <mergeCell ref="D350:I351"/>
    <mergeCell ref="C60:D61"/>
    <mergeCell ref="C71:D72"/>
    <mergeCell ref="L95:O95"/>
    <mergeCell ref="A3:P3"/>
    <mergeCell ref="C11:I12"/>
    <mergeCell ref="A4:P4"/>
    <mergeCell ref="A5:P5"/>
    <mergeCell ref="A6:P6"/>
    <mergeCell ref="C51:D52"/>
    <mergeCell ref="L960:O960"/>
    <mergeCell ref="D91:G91"/>
    <mergeCell ref="D1043:I1043"/>
    <mergeCell ref="D436:I436"/>
    <mergeCell ref="D437:I437"/>
    <mergeCell ref="D522:I522"/>
    <mergeCell ref="D523:I523"/>
    <mergeCell ref="D956:I956"/>
    <mergeCell ref="D957:I957"/>
    <mergeCell ref="D1042:I1042"/>
    <mergeCell ref="L440:O440"/>
    <mergeCell ref="L182:O182"/>
    <mergeCell ref="D178:I179"/>
    <mergeCell ref="L268:O268"/>
    <mergeCell ref="D264:G264"/>
    <mergeCell ref="L354:O354"/>
    <mergeCell ref="L526:O526"/>
    <mergeCell ref="D608:I609"/>
    <mergeCell ref="L874:O874"/>
    <mergeCell ref="D870:I870"/>
    <mergeCell ref="D871:I871"/>
    <mergeCell ref="L612:O612"/>
    <mergeCell ref="L788:O788"/>
    <mergeCell ref="D784:I784"/>
    <mergeCell ref="D785:I785"/>
    <mergeCell ref="D696:I697"/>
    <mergeCell ref="L700:O700"/>
    <mergeCell ref="L1993:O1993"/>
    <mergeCell ref="L1820:O1820"/>
    <mergeCell ref="L1906:O1906"/>
    <mergeCell ref="L1562:O1562"/>
    <mergeCell ref="D1644:F1644"/>
    <mergeCell ref="G1644:I1644"/>
    <mergeCell ref="L1648:O1648"/>
    <mergeCell ref="D1730:F1730"/>
    <mergeCell ref="G1730:I1730"/>
    <mergeCell ref="L1734:O1734"/>
    <mergeCell ref="L1046:O1046"/>
    <mergeCell ref="L1390:O1390"/>
    <mergeCell ref="L1476:O1476"/>
    <mergeCell ref="D1472:F1472"/>
    <mergeCell ref="G1472:I1472"/>
    <mergeCell ref="L1304:O1304"/>
    <mergeCell ref="D1214:I1214"/>
    <mergeCell ref="D1386:I1386"/>
    <mergeCell ref="D1558:F1558"/>
    <mergeCell ref="D1128:I1128"/>
    <mergeCell ref="D1129:I1129"/>
    <mergeCell ref="L1132:O1132"/>
    <mergeCell ref="D1215:I1215"/>
    <mergeCell ref="L1218:O1218"/>
    <mergeCell ref="D1300:I1300"/>
    <mergeCell ref="D1301:I1301"/>
    <mergeCell ref="G1558:I1558"/>
  </mergeCells>
  <phoneticPr fontId="0" type="noConversion"/>
  <conditionalFormatting sqref="C102:C161">
    <cfRule type="cellIs" dxfId="38" priority="33" stopIfTrue="1" operator="equal">
      <formula>$J$92</formula>
    </cfRule>
  </conditionalFormatting>
  <conditionalFormatting sqref="C189:C248">
    <cfRule type="cellIs" dxfId="37" priority="22" stopIfTrue="1" operator="equal">
      <formula>$J$92</formula>
    </cfRule>
  </conditionalFormatting>
  <conditionalFormatting sqref="C275:C334">
    <cfRule type="cellIs" dxfId="36" priority="21" stopIfTrue="1" operator="equal">
      <formula>$J$92</formula>
    </cfRule>
  </conditionalFormatting>
  <conditionalFormatting sqref="C361:C420">
    <cfRule type="cellIs" dxfId="35" priority="20" stopIfTrue="1" operator="equal">
      <formula>$J$92</formula>
    </cfRule>
  </conditionalFormatting>
  <conditionalFormatting sqref="C447:C506">
    <cfRule type="cellIs" dxfId="34" priority="19" stopIfTrue="1" operator="equal">
      <formula>$J$92</formula>
    </cfRule>
  </conditionalFormatting>
  <conditionalFormatting sqref="C533:C592">
    <cfRule type="cellIs" dxfId="33" priority="18" stopIfTrue="1" operator="equal">
      <formula>$J$92</formula>
    </cfRule>
  </conditionalFormatting>
  <conditionalFormatting sqref="C619:C678">
    <cfRule type="cellIs" dxfId="32" priority="17" stopIfTrue="1" operator="equal">
      <formula>$J$92</formula>
    </cfRule>
  </conditionalFormatting>
  <conditionalFormatting sqref="C707:C766">
    <cfRule type="cellIs" dxfId="31" priority="2" stopIfTrue="1" operator="equal">
      <formula>$J$92</formula>
    </cfRule>
  </conditionalFormatting>
  <conditionalFormatting sqref="C795:C854">
    <cfRule type="cellIs" dxfId="30" priority="16" stopIfTrue="1" operator="equal">
      <formula>$J$92</formula>
    </cfRule>
  </conditionalFormatting>
  <conditionalFormatting sqref="C881:C940">
    <cfRule type="cellIs" dxfId="29" priority="15" stopIfTrue="1" operator="equal">
      <formula>$J$92</formula>
    </cfRule>
  </conditionalFormatting>
  <conditionalFormatting sqref="C967:C1026">
    <cfRule type="cellIs" dxfId="28" priority="14" stopIfTrue="1" operator="equal">
      <formula>$J$92</formula>
    </cfRule>
  </conditionalFormatting>
  <conditionalFormatting sqref="C1053:C1112">
    <cfRule type="cellIs" dxfId="27" priority="13" stopIfTrue="1" operator="equal">
      <formula>$J$92</formula>
    </cfRule>
  </conditionalFormatting>
  <conditionalFormatting sqref="C1139:C1198">
    <cfRule type="cellIs" dxfId="26" priority="12" stopIfTrue="1" operator="equal">
      <formula>$J$92</formula>
    </cfRule>
  </conditionalFormatting>
  <conditionalFormatting sqref="C1225:C1284">
    <cfRule type="cellIs" dxfId="25" priority="11" stopIfTrue="1" operator="equal">
      <formula>$J$92</formula>
    </cfRule>
  </conditionalFormatting>
  <conditionalFormatting sqref="C1311:C1370">
    <cfRule type="cellIs" dxfId="24" priority="10" stopIfTrue="1" operator="equal">
      <formula>$J$92</formula>
    </cfRule>
  </conditionalFormatting>
  <conditionalFormatting sqref="C1397:C1456">
    <cfRule type="cellIs" dxfId="23" priority="9" stopIfTrue="1" operator="equal">
      <formula>$J$92</formula>
    </cfRule>
  </conditionalFormatting>
  <conditionalFormatting sqref="C1483:C1542">
    <cfRule type="cellIs" dxfId="22" priority="8" stopIfTrue="1" operator="equal">
      <formula>$J$92</formula>
    </cfRule>
  </conditionalFormatting>
  <conditionalFormatting sqref="C1569:C1628">
    <cfRule type="cellIs" dxfId="21" priority="7" stopIfTrue="1" operator="equal">
      <formula>$J$92</formula>
    </cfRule>
  </conditionalFormatting>
  <conditionalFormatting sqref="C1655:C1714">
    <cfRule type="cellIs" dxfId="20" priority="6" stopIfTrue="1" operator="equal">
      <formula>$J$92</formula>
    </cfRule>
  </conditionalFormatting>
  <conditionalFormatting sqref="C1741:C1800">
    <cfRule type="cellIs" dxfId="19" priority="5" stopIfTrue="1" operator="equal">
      <formula>$J$92</formula>
    </cfRule>
  </conditionalFormatting>
  <conditionalFormatting sqref="C1827:C1886">
    <cfRule type="cellIs" dxfId="18" priority="4" stopIfTrue="1" operator="equal">
      <formula>$J$92</formula>
    </cfRule>
  </conditionalFormatting>
  <conditionalFormatting sqref="C1913:C1972">
    <cfRule type="cellIs" dxfId="17" priority="3" stopIfTrue="1" operator="equal">
      <formula>$J$92</formula>
    </cfRule>
  </conditionalFormatting>
  <conditionalFormatting sqref="C2000:C2059">
    <cfRule type="cellIs" dxfId="16" priority="1" stopIfTrue="1" operator="equal">
      <formula>$J$92</formula>
    </cfRule>
  </conditionalFormatting>
  <pageMargins left="0.26" right="1.28" top="1" bottom="0.48" header="0.75" footer="0.5"/>
  <pageSetup scale="43" fitToHeight="2" orientation="landscape" r:id="rId1"/>
  <headerFooter alignWithMargins="0">
    <oddHeader>&amp;R&amp;"Arial,Bold"Formula Rate 
&amp;A
Page &amp;P of &amp;N</oddHeader>
  </headerFooter>
  <rowBreaks count="21" manualBreakCount="21">
    <brk id="81" max="15" man="1"/>
    <brk id="255" max="16383" man="1"/>
    <brk id="341" max="16383" man="1"/>
    <brk id="427" max="16383" man="1"/>
    <brk id="513" max="16383" man="1"/>
    <brk id="599" max="16383" man="1"/>
    <brk id="775" max="16383" man="1"/>
    <brk id="861" max="16383" man="1"/>
    <brk id="947" max="16383" man="1"/>
    <brk id="1033" max="16383" man="1"/>
    <brk id="1119" max="16383" man="1"/>
    <brk id="1205" max="16383" man="1"/>
    <brk id="1291" max="16383" man="1"/>
    <brk id="1377" max="16383" man="1"/>
    <brk id="1463" max="16383" man="1"/>
    <brk id="1549" max="16383" man="1"/>
    <brk id="1635" max="16383" man="1"/>
    <brk id="1721" max="16383" man="1"/>
    <brk id="1807" max="16383" man="1"/>
    <brk id="1893" max="16383" man="1"/>
    <brk id="1979" max="1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AA47"/>
  <sheetViews>
    <sheetView tabSelected="1" view="pageBreakPreview" zoomScaleNormal="100" zoomScaleSheetLayoutView="100" workbookViewId="0">
      <selection activeCell="D11" sqref="D11"/>
    </sheetView>
  </sheetViews>
  <sheetFormatPr defaultColWidth="9.140625" defaultRowHeight="12.75"/>
  <cols>
    <col min="1" max="1" width="9.140625" style="15"/>
    <col min="2" max="2" width="37.5703125" style="17" customWidth="1"/>
    <col min="3" max="3" width="31.5703125" style="6" customWidth="1"/>
    <col min="4" max="4" width="14.85546875" style="6" customWidth="1"/>
    <col min="5" max="5" width="18" style="6" customWidth="1"/>
    <col min="6" max="7" width="11.140625" style="6" bestFit="1" customWidth="1"/>
    <col min="8" max="8" width="11.140625" style="203" bestFit="1" customWidth="1"/>
    <col min="9" max="16384" width="9.140625" style="6"/>
  </cols>
  <sheetData>
    <row r="1" spans="1:27" ht="15.75">
      <c r="A1" s="657" t="s">
        <v>114</v>
      </c>
    </row>
    <row r="2" spans="1:27" ht="15.75">
      <c r="A2" s="657" t="s">
        <v>114</v>
      </c>
    </row>
    <row r="3" spans="1:27" ht="15">
      <c r="B3" s="1234" t="s">
        <v>387</v>
      </c>
      <c r="C3" s="1234"/>
      <c r="D3" s="1234"/>
      <c r="E3" s="1234"/>
      <c r="F3" s="1234"/>
      <c r="G3" s="28"/>
      <c r="H3" s="199"/>
      <c r="I3" s="28"/>
      <c r="J3" s="28"/>
      <c r="K3" s="28"/>
      <c r="L3" s="28"/>
      <c r="M3" s="28"/>
      <c r="N3" s="28"/>
      <c r="O3" s="28"/>
      <c r="P3" s="28"/>
    </row>
    <row r="4" spans="1:27" ht="15">
      <c r="B4" s="1235" t="str">
        <f>"Cost of Service Formula Rate Using "&amp;TCOS!L4&amp;" FF1 Balances"</f>
        <v>Cost of Service Formula Rate Using 2025 FF1 Balances</v>
      </c>
      <c r="C4" s="1235"/>
      <c r="D4" s="1235"/>
      <c r="E4" s="1235"/>
      <c r="F4" s="1235"/>
      <c r="G4" s="74"/>
      <c r="H4" s="200"/>
      <c r="I4" s="74"/>
      <c r="J4" s="74"/>
      <c r="K4" s="74"/>
      <c r="L4" s="74"/>
      <c r="M4" s="74"/>
      <c r="N4" s="74"/>
      <c r="O4" s="74"/>
      <c r="P4" s="74"/>
    </row>
    <row r="5" spans="1:27" ht="18">
      <c r="B5" s="1234" t="s">
        <v>547</v>
      </c>
      <c r="C5" s="1234"/>
      <c r="D5" s="1234"/>
      <c r="E5" s="1234"/>
      <c r="F5" s="1234"/>
      <c r="G5" s="120"/>
      <c r="H5" s="201"/>
      <c r="I5" s="120"/>
      <c r="J5" s="120"/>
      <c r="K5" s="120"/>
    </row>
    <row r="6" spans="1:27" ht="18">
      <c r="B6" s="1243" t="str">
        <f>+TCOS!F9</f>
        <v>Ohio Power Company</v>
      </c>
      <c r="C6" s="1234"/>
      <c r="D6" s="1234"/>
      <c r="E6" s="1234"/>
      <c r="F6" s="1234"/>
      <c r="G6" s="126"/>
      <c r="H6" s="202"/>
      <c r="I6" s="126"/>
      <c r="J6" s="126"/>
      <c r="K6" s="126"/>
    </row>
    <row r="8" spans="1:27" ht="18.75" customHeight="1">
      <c r="B8" s="13"/>
      <c r="C8" s="110"/>
      <c r="D8" s="111"/>
    </row>
    <row r="10" spans="1:27" ht="18">
      <c r="B10" s="5"/>
      <c r="C10" s="5"/>
      <c r="D10" s="5"/>
      <c r="E10" s="5"/>
      <c r="F10" s="5"/>
      <c r="R10" s="119"/>
      <c r="S10" s="119"/>
      <c r="T10" s="119"/>
      <c r="U10" s="119"/>
      <c r="V10" s="119"/>
      <c r="W10" s="119"/>
      <c r="X10" s="119"/>
      <c r="Y10" s="119"/>
      <c r="Z10" s="119"/>
      <c r="AA10" s="119"/>
    </row>
    <row r="11" spans="1:27">
      <c r="A11" s="645"/>
      <c r="B11" s="109"/>
      <c r="C11" s="111"/>
    </row>
    <row r="12" spans="1:27">
      <c r="A12" s="185"/>
      <c r="B12" s="9"/>
      <c r="C12" s="9"/>
      <c r="D12" s="9"/>
      <c r="E12" s="9"/>
      <c r="F12" s="9"/>
      <c r="G12" s="8"/>
    </row>
    <row r="13" spans="1:27">
      <c r="A13" s="186"/>
      <c r="B13" s="9"/>
      <c r="C13" s="9"/>
      <c r="D13" s="9"/>
      <c r="E13" s="9"/>
      <c r="F13" s="9"/>
      <c r="G13" s="8"/>
    </row>
    <row r="14" spans="1:27">
      <c r="A14" s="210"/>
      <c r="B14" s="9"/>
      <c r="C14" s="9"/>
      <c r="D14" s="9"/>
      <c r="E14" s="9"/>
      <c r="F14" s="9"/>
      <c r="H14" s="6"/>
    </row>
    <row r="15" spans="1:27">
      <c r="A15" s="210"/>
      <c r="B15" s="9"/>
      <c r="C15" s="9"/>
      <c r="D15" s="9"/>
      <c r="E15" s="9"/>
      <c r="F15" s="9"/>
      <c r="H15" s="6"/>
    </row>
    <row r="16" spans="1:27">
      <c r="A16" s="210"/>
      <c r="B16" s="9"/>
      <c r="C16" s="9"/>
      <c r="D16" s="9"/>
      <c r="E16" s="9"/>
      <c r="F16" s="9"/>
      <c r="H16" s="6"/>
    </row>
    <row r="17" spans="1:8" ht="12.75" customHeight="1">
      <c r="A17" s="210"/>
      <c r="B17" s="9"/>
      <c r="C17" s="9"/>
      <c r="D17" s="9"/>
      <c r="E17" s="9"/>
      <c r="F17" s="9"/>
      <c r="H17" s="6"/>
    </row>
    <row r="18" spans="1:8">
      <c r="A18" s="210"/>
      <c r="B18" s="9"/>
      <c r="C18" s="9"/>
      <c r="D18" s="9"/>
      <c r="E18" s="9"/>
      <c r="F18" s="9"/>
      <c r="H18" s="6"/>
    </row>
    <row r="19" spans="1:8">
      <c r="A19" s="210"/>
      <c r="B19" s="9"/>
      <c r="C19" s="9"/>
      <c r="D19" s="9"/>
      <c r="E19" s="9"/>
      <c r="F19" s="9"/>
      <c r="H19" s="6"/>
    </row>
    <row r="20" spans="1:8">
      <c r="A20" s="210"/>
      <c r="B20" s="9"/>
      <c r="C20" s="9"/>
      <c r="D20" s="9"/>
      <c r="E20" s="9"/>
      <c r="F20" s="9"/>
      <c r="H20" s="6"/>
    </row>
    <row r="21" spans="1:8">
      <c r="A21" s="210"/>
      <c r="B21" s="9"/>
      <c r="C21" s="9"/>
      <c r="D21" s="9"/>
      <c r="E21" s="9"/>
      <c r="F21" s="9"/>
      <c r="H21" s="6"/>
    </row>
    <row r="22" spans="1:8">
      <c r="A22" s="210"/>
      <c r="B22" s="9"/>
      <c r="C22" s="9"/>
      <c r="D22" s="9"/>
      <c r="E22" s="9"/>
      <c r="F22" s="9"/>
      <c r="H22" s="6"/>
    </row>
    <row r="23" spans="1:8" ht="12.75" customHeight="1">
      <c r="A23" s="210"/>
      <c r="B23" s="9"/>
      <c r="C23" s="9"/>
      <c r="D23" s="9"/>
      <c r="E23" s="9"/>
      <c r="F23" s="9"/>
      <c r="H23" s="6"/>
    </row>
    <row r="24" spans="1:8" ht="12.75" customHeight="1">
      <c r="A24" s="210"/>
      <c r="B24" s="9"/>
      <c r="C24" s="9"/>
      <c r="D24" s="9"/>
      <c r="E24" s="9"/>
      <c r="F24" s="9"/>
      <c r="H24" s="6"/>
    </row>
    <row r="25" spans="1:8" ht="12.75" customHeight="1">
      <c r="A25" s="210"/>
      <c r="B25" s="9"/>
      <c r="C25" s="9"/>
      <c r="D25" s="9"/>
      <c r="E25" s="9"/>
      <c r="F25" s="9"/>
      <c r="H25" s="6"/>
    </row>
    <row r="26" spans="1:8" ht="12.75" customHeight="1">
      <c r="A26" s="210"/>
      <c r="B26" s="9"/>
      <c r="C26" s="9"/>
      <c r="D26" s="9"/>
      <c r="E26" s="9"/>
      <c r="F26" s="9"/>
      <c r="H26" s="6"/>
    </row>
    <row r="27" spans="1:8" ht="12.75" customHeight="1">
      <c r="A27" s="210"/>
      <c r="B27" s="9"/>
      <c r="C27" s="9"/>
      <c r="D27" s="9"/>
      <c r="E27" s="9"/>
      <c r="F27" s="9"/>
      <c r="H27" s="6"/>
    </row>
    <row r="28" spans="1:8" ht="12.75" customHeight="1">
      <c r="A28" s="210"/>
      <c r="B28" s="9"/>
      <c r="C28" s="9"/>
      <c r="D28" s="9"/>
      <c r="E28" s="9"/>
      <c r="F28" s="9"/>
      <c r="H28" s="6"/>
    </row>
    <row r="29" spans="1:8" ht="12.75" customHeight="1">
      <c r="A29" s="210"/>
      <c r="B29" s="9"/>
      <c r="C29" s="9"/>
      <c r="D29" s="9"/>
      <c r="E29" s="9"/>
      <c r="F29" s="9"/>
      <c r="H29" s="6"/>
    </row>
    <row r="30" spans="1:8" ht="12.75" customHeight="1">
      <c r="A30" s="210"/>
      <c r="B30" s="9"/>
      <c r="C30" s="9"/>
      <c r="D30" s="9"/>
      <c r="E30" s="9"/>
      <c r="F30" s="9"/>
      <c r="H30" s="6"/>
    </row>
    <row r="31" spans="1:8" ht="12.75" customHeight="1">
      <c r="A31" s="210"/>
      <c r="B31" s="9"/>
      <c r="C31" s="9"/>
      <c r="D31" s="9"/>
      <c r="E31" s="9"/>
      <c r="F31" s="9"/>
      <c r="H31" s="6"/>
    </row>
    <row r="32" spans="1:8" ht="12.75" customHeight="1">
      <c r="A32" s="210"/>
      <c r="B32" s="9"/>
      <c r="C32" s="9"/>
      <c r="D32" s="9"/>
      <c r="E32" s="9"/>
      <c r="F32" s="9"/>
      <c r="H32" s="6"/>
    </row>
    <row r="33" spans="1:8" ht="12.75" customHeight="1">
      <c r="A33" s="210"/>
      <c r="B33" s="9"/>
      <c r="C33" s="9"/>
      <c r="D33" s="9"/>
      <c r="E33" s="9"/>
      <c r="F33" s="9"/>
      <c r="H33" s="6"/>
    </row>
    <row r="34" spans="1:8" ht="12.75" customHeight="1">
      <c r="A34" s="210"/>
      <c r="B34" s="9"/>
      <c r="C34" s="9"/>
      <c r="D34" s="9"/>
      <c r="E34" s="9"/>
      <c r="F34" s="9"/>
      <c r="H34" s="6"/>
    </row>
    <row r="35" spans="1:8" ht="12.75" customHeight="1">
      <c r="A35" s="210"/>
      <c r="B35" s="9"/>
      <c r="C35" s="9"/>
      <c r="D35" s="9"/>
      <c r="E35" s="9"/>
      <c r="F35" s="9"/>
      <c r="H35" s="6"/>
    </row>
    <row r="36" spans="1:8" ht="12.75" customHeight="1">
      <c r="A36" s="210"/>
      <c r="B36" s="9"/>
      <c r="C36" s="9"/>
      <c r="D36" s="9"/>
      <c r="E36" s="9"/>
      <c r="F36" s="9"/>
      <c r="H36" s="6"/>
    </row>
    <row r="37" spans="1:8" ht="12.75" customHeight="1">
      <c r="A37" s="210"/>
      <c r="B37" s="9"/>
      <c r="C37" s="9"/>
      <c r="D37" s="9"/>
      <c r="E37" s="9"/>
      <c r="F37" s="9"/>
      <c r="H37" s="6"/>
    </row>
    <row r="38" spans="1:8" ht="12.75" customHeight="1">
      <c r="A38" s="210"/>
      <c r="B38" s="9"/>
      <c r="C38" s="9"/>
      <c r="D38" s="9"/>
      <c r="E38" s="9"/>
      <c r="F38" s="9"/>
      <c r="H38" s="6"/>
    </row>
    <row r="39" spans="1:8" ht="12.75" customHeight="1">
      <c r="A39" s="210"/>
      <c r="B39" s="9"/>
      <c r="C39" s="9"/>
      <c r="D39" s="9"/>
      <c r="E39" s="9"/>
      <c r="F39" s="9"/>
      <c r="H39" s="6"/>
    </row>
    <row r="40" spans="1:8" ht="12.75" customHeight="1">
      <c r="A40" s="210"/>
      <c r="B40" s="9"/>
      <c r="C40" s="9"/>
      <c r="D40" s="9"/>
      <c r="E40" s="9"/>
      <c r="F40" s="9"/>
      <c r="H40" s="6"/>
    </row>
    <row r="41" spans="1:8" ht="12.75" customHeight="1">
      <c r="A41" s="210"/>
      <c r="B41" s="9"/>
      <c r="C41" s="9"/>
      <c r="D41" s="9"/>
      <c r="E41" s="9"/>
      <c r="F41" s="9"/>
      <c r="H41" s="6"/>
    </row>
    <row r="42" spans="1:8" ht="12.75" customHeight="1">
      <c r="A42" s="210"/>
      <c r="B42" s="9"/>
      <c r="C42" s="9"/>
      <c r="D42" s="9"/>
      <c r="E42" s="9"/>
      <c r="F42" s="9"/>
      <c r="H42" s="6"/>
    </row>
    <row r="43" spans="1:8" ht="12.6" customHeight="1">
      <c r="A43" s="210"/>
      <c r="B43" s="9"/>
      <c r="C43" s="9"/>
      <c r="D43" s="9"/>
      <c r="E43" s="9"/>
      <c r="F43" s="9"/>
      <c r="H43" s="6"/>
    </row>
    <row r="44" spans="1:8" ht="12.75" customHeight="1">
      <c r="A44" s="210"/>
      <c r="B44" s="9"/>
      <c r="C44" s="9"/>
      <c r="D44" s="9"/>
      <c r="E44" s="9"/>
      <c r="F44" s="9"/>
      <c r="H44" s="6"/>
    </row>
    <row r="45" spans="1:8">
      <c r="B45" s="9"/>
      <c r="C45" s="9"/>
      <c r="D45" s="9"/>
      <c r="E45" s="9"/>
      <c r="F45" s="9"/>
      <c r="H45" s="6"/>
    </row>
    <row r="46" spans="1:8">
      <c r="B46" s="9"/>
      <c r="C46" s="9"/>
      <c r="D46" s="9"/>
      <c r="E46" s="9"/>
      <c r="F46" s="9"/>
      <c r="H46" s="6"/>
    </row>
    <row r="47" spans="1:8">
      <c r="B47" s="9"/>
      <c r="C47" s="9"/>
      <c r="D47" s="9"/>
      <c r="E47" s="9"/>
      <c r="F47" s="9"/>
      <c r="H47" s="6"/>
    </row>
  </sheetData>
  <mergeCells count="4">
    <mergeCell ref="B6:F6"/>
    <mergeCell ref="B3:F3"/>
    <mergeCell ref="B4:F4"/>
    <mergeCell ref="B5:F5"/>
  </mergeCells>
  <phoneticPr fontId="0" type="noConversion"/>
  <pageMargins left="0.61" right="0.72" top="1" bottom="1" header="0.75" footer="0.5"/>
  <pageSetup scale="76" orientation="portrait" r:id="rId1"/>
  <headerFooter alignWithMargins="0">
    <oddHeader>&amp;R&amp;"Arial,Bold"Formula Rate 
&amp;A
Page &amp;P of &amp;N</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pageSetUpPr fitToPage="1"/>
  </sheetPr>
  <dimension ref="A1:L164"/>
  <sheetViews>
    <sheetView tabSelected="1" topLeftCell="A59" zoomScale="90" zoomScaleNormal="90" zoomScaleSheetLayoutView="85" zoomScalePageLayoutView="85" workbookViewId="0">
      <selection activeCell="D11" sqref="D11"/>
    </sheetView>
  </sheetViews>
  <sheetFormatPr defaultColWidth="11.42578125" defaultRowHeight="12.75"/>
  <cols>
    <col min="1" max="1" width="10.42578125" style="718" customWidth="1"/>
    <col min="2" max="2" width="52.42578125" style="698" customWidth="1"/>
    <col min="3" max="7" width="20.42578125" style="698" customWidth="1"/>
    <col min="8" max="8" width="23" style="698" customWidth="1"/>
    <col min="9" max="11" width="20.42578125" style="698" customWidth="1"/>
    <col min="12" max="12" width="20" style="698" customWidth="1"/>
    <col min="13" max="14" width="15.140625" style="698" customWidth="1"/>
    <col min="15" max="16384" width="11.42578125" style="698"/>
  </cols>
  <sheetData>
    <row r="1" spans="1:12" ht="15">
      <c r="A1" s="1234" t="s">
        <v>387</v>
      </c>
      <c r="B1" s="1234"/>
      <c r="C1" s="1234"/>
      <c r="D1" s="1234"/>
      <c r="E1" s="1234"/>
      <c r="F1" s="1234"/>
      <c r="G1" s="1234"/>
      <c r="H1" s="79"/>
    </row>
    <row r="2" spans="1:12" ht="15">
      <c r="A2" s="1235" t="str">
        <f>"Cost of Service Formula Rate Using Actual/Projected FF1 Balances"</f>
        <v>Cost of Service Formula Rate Using Actual/Projected FF1 Balances</v>
      </c>
      <c r="B2" s="1235"/>
      <c r="C2" s="1235"/>
      <c r="D2" s="1235"/>
      <c r="E2" s="1235"/>
      <c r="F2" s="1235"/>
      <c r="G2" s="1235"/>
      <c r="H2" s="699"/>
      <c r="I2" s="699"/>
      <c r="J2" s="699"/>
      <c r="L2" s="700"/>
    </row>
    <row r="3" spans="1:12" ht="15">
      <c r="A3" s="1235" t="s">
        <v>668</v>
      </c>
      <c r="B3" s="1235"/>
      <c r="C3" s="1235"/>
      <c r="D3" s="1235"/>
      <c r="E3" s="1235"/>
      <c r="F3" s="1235"/>
      <c r="G3" s="1235"/>
      <c r="H3" s="699"/>
      <c r="I3" s="699"/>
      <c r="J3" s="699"/>
    </row>
    <row r="4" spans="1:12" ht="15">
      <c r="A4" s="1236" t="str">
        <f>TCOS!F9</f>
        <v>Ohio Power Company</v>
      </c>
      <c r="B4" s="1236"/>
      <c r="C4" s="1236"/>
      <c r="D4" s="1236"/>
      <c r="E4" s="1236"/>
      <c r="F4" s="1236"/>
      <c r="G4" s="1236"/>
      <c r="H4" s="699"/>
      <c r="I4" s="699"/>
      <c r="J4" s="699"/>
    </row>
    <row r="5" spans="1:12">
      <c r="A5" s="699"/>
      <c r="B5" s="701"/>
      <c r="C5" s="701"/>
      <c r="D5" s="701"/>
      <c r="E5" s="702"/>
      <c r="F5" s="703"/>
      <c r="H5"/>
      <c r="I5"/>
      <c r="J5"/>
      <c r="K5"/>
      <c r="L5"/>
    </row>
    <row r="6" spans="1:12" ht="12.75" customHeight="1">
      <c r="A6" s="79"/>
      <c r="B6" s="688"/>
      <c r="C6" s="1294" t="s">
        <v>6</v>
      </c>
      <c r="D6" s="1295"/>
      <c r="E6" s="1295"/>
      <c r="F6" s="1295"/>
      <c r="G6" s="1296"/>
      <c r="H6" s="4"/>
      <c r="I6"/>
      <c r="J6"/>
      <c r="K6"/>
      <c r="L6"/>
    </row>
    <row r="7" spans="1:12" s="705" customFormat="1" ht="38.25">
      <c r="A7" s="687" t="s">
        <v>642</v>
      </c>
      <c r="B7" s="686" t="s">
        <v>641</v>
      </c>
      <c r="C7" s="675" t="s">
        <v>669</v>
      </c>
      <c r="D7" s="674" t="s">
        <v>368</v>
      </c>
      <c r="E7" s="674" t="s">
        <v>670</v>
      </c>
      <c r="F7" s="674" t="s">
        <v>671</v>
      </c>
      <c r="G7" s="704" t="s">
        <v>6</v>
      </c>
      <c r="H7" s="4"/>
      <c r="I7"/>
      <c r="J7"/>
      <c r="K7"/>
      <c r="L7"/>
    </row>
    <row r="8" spans="1:12" s="707" customFormat="1">
      <c r="A8" s="668"/>
      <c r="B8" s="671" t="s">
        <v>636</v>
      </c>
      <c r="C8" s="672" t="s">
        <v>635</v>
      </c>
      <c r="D8" s="670" t="s">
        <v>634</v>
      </c>
      <c r="E8" s="670" t="s">
        <v>633</v>
      </c>
      <c r="F8" s="670" t="s">
        <v>632</v>
      </c>
      <c r="G8" s="706" t="s">
        <v>672</v>
      </c>
      <c r="H8" s="4"/>
      <c r="I8"/>
      <c r="J8"/>
      <c r="K8"/>
      <c r="L8"/>
    </row>
    <row r="9" spans="1:12" s="707" customFormat="1" ht="44.25" customHeight="1">
      <c r="A9" s="668"/>
      <c r="B9" s="671" t="s">
        <v>631</v>
      </c>
      <c r="C9" s="708" t="s">
        <v>673</v>
      </c>
      <c r="D9" s="685" t="s">
        <v>674</v>
      </c>
      <c r="E9" s="685" t="s">
        <v>675</v>
      </c>
      <c r="F9" s="685" t="s">
        <v>676</v>
      </c>
      <c r="G9" s="709"/>
      <c r="H9" s="4"/>
      <c r="I9"/>
      <c r="J9"/>
      <c r="K9"/>
      <c r="L9"/>
    </row>
    <row r="10" spans="1:12">
      <c r="A10" s="668">
        <v>1</v>
      </c>
      <c r="B10" s="684" t="s">
        <v>629</v>
      </c>
      <c r="C10" s="710">
        <v>3884067982.244998</v>
      </c>
      <c r="D10" s="710"/>
      <c r="E10" s="710">
        <v>4429218.47</v>
      </c>
      <c r="F10" s="710">
        <v>0</v>
      </c>
      <c r="G10" s="711">
        <f t="shared" ref="G10:G22" si="0">+C10-D10-E10-F10</f>
        <v>3879638763.7749982</v>
      </c>
      <c r="H10" s="4"/>
      <c r="I10"/>
      <c r="J10"/>
      <c r="K10"/>
      <c r="L10"/>
    </row>
    <row r="11" spans="1:12">
      <c r="A11" s="668">
        <f t="shared" ref="A11:A23" si="1">+A10+1</f>
        <v>2</v>
      </c>
      <c r="B11" s="684" t="s">
        <v>185</v>
      </c>
      <c r="C11" s="710">
        <v>3927011425.7740021</v>
      </c>
      <c r="D11" s="710"/>
      <c r="E11" s="710">
        <v>4429218.47</v>
      </c>
      <c r="F11" s="710">
        <v>0</v>
      </c>
      <c r="G11" s="711">
        <f t="shared" si="0"/>
        <v>3922582207.3040023</v>
      </c>
      <c r="H11" s="4"/>
      <c r="I11"/>
      <c r="J11"/>
      <c r="K11"/>
      <c r="L11"/>
    </row>
    <row r="12" spans="1:12">
      <c r="A12" s="668">
        <f t="shared" si="1"/>
        <v>3</v>
      </c>
      <c r="B12" s="683" t="s">
        <v>559</v>
      </c>
      <c r="C12" s="710">
        <v>3913307504.0570006</v>
      </c>
      <c r="D12" s="710"/>
      <c r="E12" s="710">
        <v>4429218.47</v>
      </c>
      <c r="F12" s="710">
        <v>0</v>
      </c>
      <c r="G12" s="711">
        <f t="shared" si="0"/>
        <v>3908878285.5870008</v>
      </c>
      <c r="H12" s="4"/>
      <c r="I12"/>
      <c r="J12"/>
      <c r="K12"/>
      <c r="L12"/>
    </row>
    <row r="13" spans="1:12">
      <c r="A13" s="668">
        <f t="shared" si="1"/>
        <v>4</v>
      </c>
      <c r="B13" s="683" t="s">
        <v>628</v>
      </c>
      <c r="C13" s="710">
        <v>3901130394.6270008</v>
      </c>
      <c r="D13" s="710"/>
      <c r="E13" s="710">
        <v>5771590.8399999999</v>
      </c>
      <c r="F13" s="710">
        <v>0</v>
      </c>
      <c r="G13" s="711">
        <f t="shared" si="0"/>
        <v>3895358803.7870007</v>
      </c>
      <c r="H13" s="4"/>
      <c r="I13"/>
      <c r="J13"/>
      <c r="K13"/>
      <c r="L13"/>
    </row>
    <row r="14" spans="1:12">
      <c r="A14" s="668">
        <f t="shared" si="1"/>
        <v>5</v>
      </c>
      <c r="B14" s="683" t="s">
        <v>187</v>
      </c>
      <c r="C14" s="710">
        <v>3922561878.2370005</v>
      </c>
      <c r="D14" s="710"/>
      <c r="E14" s="710">
        <v>5771590.8399999999</v>
      </c>
      <c r="F14" s="710">
        <v>0</v>
      </c>
      <c r="G14" s="711">
        <f t="shared" si="0"/>
        <v>3916790287.3970003</v>
      </c>
      <c r="H14" s="4"/>
      <c r="I14"/>
      <c r="J14"/>
      <c r="K14"/>
      <c r="L14"/>
    </row>
    <row r="15" spans="1:12">
      <c r="A15" s="668">
        <f t="shared" si="1"/>
        <v>6</v>
      </c>
      <c r="B15" s="683" t="s">
        <v>188</v>
      </c>
      <c r="C15" s="710">
        <v>3971822916.7689981</v>
      </c>
      <c r="D15" s="710"/>
      <c r="E15" s="710">
        <v>5834736.8399999999</v>
      </c>
      <c r="F15" s="710">
        <v>0</v>
      </c>
      <c r="G15" s="711">
        <f t="shared" si="0"/>
        <v>3965988179.928998</v>
      </c>
      <c r="H15" s="4"/>
      <c r="I15"/>
      <c r="J15"/>
      <c r="K15"/>
      <c r="L15"/>
    </row>
    <row r="16" spans="1:12">
      <c r="A16" s="668">
        <f t="shared" si="1"/>
        <v>7</v>
      </c>
      <c r="B16" s="683" t="s">
        <v>382</v>
      </c>
      <c r="C16" s="710">
        <v>3980655874.8889995</v>
      </c>
      <c r="D16" s="710"/>
      <c r="E16" s="710">
        <v>5798532.8399999999</v>
      </c>
      <c r="F16" s="710">
        <v>0</v>
      </c>
      <c r="G16" s="711">
        <f t="shared" si="0"/>
        <v>3974857342.0489993</v>
      </c>
      <c r="H16" s="4"/>
      <c r="I16"/>
      <c r="J16"/>
      <c r="K16"/>
      <c r="L16"/>
    </row>
    <row r="17" spans="1:12">
      <c r="A17" s="668">
        <f t="shared" si="1"/>
        <v>8</v>
      </c>
      <c r="B17" s="683" t="s">
        <v>189</v>
      </c>
      <c r="C17" s="710">
        <v>4020315019.0490012</v>
      </c>
      <c r="D17" s="710"/>
      <c r="E17" s="710">
        <v>5894510.8399999999</v>
      </c>
      <c r="F17" s="710">
        <v>0</v>
      </c>
      <c r="G17" s="711">
        <f t="shared" si="0"/>
        <v>4014420508.2090011</v>
      </c>
      <c r="H17" s="4"/>
      <c r="I17"/>
      <c r="J17"/>
      <c r="K17"/>
      <c r="L17"/>
    </row>
    <row r="18" spans="1:12">
      <c r="A18" s="668">
        <f t="shared" si="1"/>
        <v>9</v>
      </c>
      <c r="B18" s="683" t="s">
        <v>627</v>
      </c>
      <c r="C18" s="710">
        <v>4054927940.0189991</v>
      </c>
      <c r="D18" s="710"/>
      <c r="E18" s="710">
        <v>5936230.8399999999</v>
      </c>
      <c r="F18" s="710">
        <v>0</v>
      </c>
      <c r="G18" s="711">
        <f t="shared" si="0"/>
        <v>4048991709.1789989</v>
      </c>
      <c r="H18" s="4"/>
      <c r="I18"/>
      <c r="J18"/>
      <c r="K18"/>
      <c r="L18"/>
    </row>
    <row r="19" spans="1:12">
      <c r="A19" s="668">
        <f t="shared" si="1"/>
        <v>10</v>
      </c>
      <c r="B19" s="683" t="s">
        <v>192</v>
      </c>
      <c r="C19" s="710">
        <v>4081602206.9420004</v>
      </c>
      <c r="D19" s="710"/>
      <c r="E19" s="710">
        <v>5962402.8399999999</v>
      </c>
      <c r="F19" s="710">
        <v>0</v>
      </c>
      <c r="G19" s="711">
        <f t="shared" si="0"/>
        <v>4075639804.1020002</v>
      </c>
      <c r="H19" s="4"/>
      <c r="I19"/>
      <c r="J19"/>
      <c r="K19"/>
      <c r="L19"/>
    </row>
    <row r="20" spans="1:12">
      <c r="A20" s="668">
        <f t="shared" si="1"/>
        <v>11</v>
      </c>
      <c r="B20" s="683" t="s">
        <v>560</v>
      </c>
      <c r="C20" s="710">
        <v>4094494459.0110021</v>
      </c>
      <c r="D20" s="710"/>
      <c r="E20" s="710">
        <v>5962402.8399999999</v>
      </c>
      <c r="F20" s="710">
        <v>0</v>
      </c>
      <c r="G20" s="711">
        <f t="shared" si="0"/>
        <v>4088532056.1710019</v>
      </c>
      <c r="H20" s="4"/>
      <c r="I20"/>
      <c r="J20"/>
      <c r="K20"/>
      <c r="L20"/>
    </row>
    <row r="21" spans="1:12">
      <c r="A21" s="668">
        <f t="shared" si="1"/>
        <v>12</v>
      </c>
      <c r="B21" s="683" t="s">
        <v>561</v>
      </c>
      <c r="C21" s="710">
        <v>4128175411.2450042</v>
      </c>
      <c r="D21" s="710"/>
      <c r="E21" s="710">
        <v>6004730.8399999999</v>
      </c>
      <c r="F21" s="710">
        <v>0</v>
      </c>
      <c r="G21" s="711">
        <f t="shared" si="0"/>
        <v>4122170680.405004</v>
      </c>
      <c r="H21" s="4"/>
      <c r="I21"/>
      <c r="J21"/>
      <c r="K21"/>
      <c r="L21"/>
    </row>
    <row r="22" spans="1:12">
      <c r="A22" s="667">
        <f t="shared" si="1"/>
        <v>13</v>
      </c>
      <c r="B22" s="682" t="s">
        <v>626</v>
      </c>
      <c r="C22" s="710">
        <v>4151469487.2010026</v>
      </c>
      <c r="D22" s="710"/>
      <c r="E22" s="710">
        <v>5992903.8399999999</v>
      </c>
      <c r="F22" s="710">
        <v>0</v>
      </c>
      <c r="G22" s="711">
        <f t="shared" si="0"/>
        <v>4145476583.3610024</v>
      </c>
      <c r="H22" s="4"/>
      <c r="I22"/>
      <c r="J22"/>
      <c r="K22"/>
      <c r="L22"/>
    </row>
    <row r="23" spans="1:12" ht="13.5" thickBot="1">
      <c r="A23" s="681">
        <f t="shared" si="1"/>
        <v>14</v>
      </c>
      <c r="B23" s="680" t="s">
        <v>853</v>
      </c>
      <c r="C23" s="665">
        <f>SUM(C10:C22)/13</f>
        <v>4002426346.1588469</v>
      </c>
      <c r="D23" s="664">
        <f>SUM(D10:D22)/13</f>
        <v>0</v>
      </c>
      <c r="E23" s="664">
        <f>SUM(E10:E22)/13</f>
        <v>5555176.062307694</v>
      </c>
      <c r="F23" s="664">
        <f>SUM(F10:F22)/13</f>
        <v>0</v>
      </c>
      <c r="G23" s="712">
        <f>SUM(G10:G22)/13</f>
        <v>3996871170.096539</v>
      </c>
      <c r="H23" s="4"/>
      <c r="I23"/>
      <c r="J23"/>
      <c r="K23"/>
      <c r="L23"/>
    </row>
    <row r="24" spans="1:12" ht="13.5" thickTop="1">
      <c r="A24" s="79"/>
      <c r="B24" s="663"/>
      <c r="C24" s="679"/>
      <c r="D24" s="662"/>
      <c r="E24" s="662"/>
      <c r="F24" s="662"/>
      <c r="G24" s="679"/>
      <c r="H24" s="679"/>
      <c r="I24"/>
      <c r="J24"/>
      <c r="K24"/>
      <c r="L24"/>
    </row>
    <row r="25" spans="1:12" ht="12.75" customHeight="1">
      <c r="A25" s="79"/>
      <c r="B25" s="688"/>
      <c r="C25" s="1297" t="s">
        <v>677</v>
      </c>
      <c r="D25" s="1298"/>
      <c r="E25" s="1298"/>
      <c r="F25" s="1298"/>
      <c r="G25" s="1298"/>
      <c r="H25" s="1299"/>
      <c r="I25"/>
      <c r="J25"/>
      <c r="K25"/>
      <c r="L25"/>
    </row>
    <row r="26" spans="1:12" s="705" customFormat="1" ht="38.25">
      <c r="A26" s="687" t="s">
        <v>642</v>
      </c>
      <c r="B26" s="686" t="s">
        <v>641</v>
      </c>
      <c r="C26" s="675" t="s">
        <v>689</v>
      </c>
      <c r="D26" s="674" t="s">
        <v>688</v>
      </c>
      <c r="E26" s="674" t="s">
        <v>687</v>
      </c>
      <c r="F26" s="674" t="s">
        <v>686</v>
      </c>
      <c r="G26" s="674" t="s">
        <v>678</v>
      </c>
      <c r="H26" s="704" t="s">
        <v>622</v>
      </c>
      <c r="I26"/>
      <c r="J26"/>
      <c r="K26"/>
      <c r="L26"/>
    </row>
    <row r="27" spans="1:12" s="707" customFormat="1">
      <c r="A27" s="668"/>
      <c r="B27" s="671" t="s">
        <v>636</v>
      </c>
      <c r="C27" s="672" t="s">
        <v>635</v>
      </c>
      <c r="D27" s="670" t="s">
        <v>634</v>
      </c>
      <c r="E27" s="670" t="s">
        <v>633</v>
      </c>
      <c r="F27" s="670" t="s">
        <v>632</v>
      </c>
      <c r="G27" s="670" t="s">
        <v>654</v>
      </c>
      <c r="H27" s="706" t="s">
        <v>679</v>
      </c>
      <c r="I27"/>
      <c r="J27"/>
      <c r="K27"/>
      <c r="L27"/>
    </row>
    <row r="28" spans="1:12" s="707" customFormat="1" ht="44.25" customHeight="1">
      <c r="A28" s="668"/>
      <c r="B28" s="671" t="s">
        <v>631</v>
      </c>
      <c r="C28" s="708" t="s">
        <v>680</v>
      </c>
      <c r="D28" s="685" t="s">
        <v>681</v>
      </c>
      <c r="E28" s="685" t="s">
        <v>682</v>
      </c>
      <c r="F28" s="685" t="s">
        <v>683</v>
      </c>
      <c r="G28" s="685" t="s">
        <v>684</v>
      </c>
      <c r="H28" s="713"/>
      <c r="I28"/>
      <c r="J28"/>
      <c r="K28"/>
      <c r="L28"/>
    </row>
    <row r="29" spans="1:12">
      <c r="A29" s="668">
        <f>+A23+1</f>
        <v>15</v>
      </c>
      <c r="B29" s="684" t="s">
        <v>629</v>
      </c>
      <c r="C29" s="710"/>
      <c r="D29" s="710"/>
      <c r="E29" s="710"/>
      <c r="F29" s="710">
        <v>3750000000</v>
      </c>
      <c r="G29" s="710"/>
      <c r="H29" s="711">
        <f t="shared" ref="H29:H41" si="2">+C29-D29+E29+F29-G29</f>
        <v>3750000000</v>
      </c>
      <c r="I29"/>
      <c r="J29"/>
      <c r="K29"/>
      <c r="L29"/>
    </row>
    <row r="30" spans="1:12">
      <c r="A30" s="668">
        <f t="shared" ref="A30:A42" si="3">+A29+1</f>
        <v>16</v>
      </c>
      <c r="B30" s="684" t="s">
        <v>185</v>
      </c>
      <c r="C30" s="710"/>
      <c r="D30" s="710"/>
      <c r="E30" s="710"/>
      <c r="F30" s="710">
        <v>3750000000</v>
      </c>
      <c r="G30" s="710"/>
      <c r="H30" s="711">
        <f t="shared" si="2"/>
        <v>3750000000</v>
      </c>
      <c r="I30"/>
      <c r="J30"/>
      <c r="K30"/>
      <c r="L30"/>
    </row>
    <row r="31" spans="1:12">
      <c r="A31" s="668">
        <f t="shared" si="3"/>
        <v>17</v>
      </c>
      <c r="B31" s="683" t="s">
        <v>559</v>
      </c>
      <c r="C31" s="710"/>
      <c r="D31" s="710"/>
      <c r="E31" s="710"/>
      <c r="F31" s="710">
        <v>3750000000</v>
      </c>
      <c r="G31" s="710"/>
      <c r="H31" s="711">
        <f t="shared" si="2"/>
        <v>3750000000</v>
      </c>
      <c r="I31"/>
      <c r="J31"/>
      <c r="K31"/>
      <c r="L31"/>
    </row>
    <row r="32" spans="1:12">
      <c r="A32" s="668">
        <f t="shared" si="3"/>
        <v>18</v>
      </c>
      <c r="B32" s="683" t="s">
        <v>628</v>
      </c>
      <c r="C32" s="710"/>
      <c r="D32" s="710"/>
      <c r="E32" s="710"/>
      <c r="F32" s="710">
        <v>3750000000</v>
      </c>
      <c r="G32" s="710"/>
      <c r="H32" s="711">
        <f t="shared" si="2"/>
        <v>3750000000</v>
      </c>
      <c r="I32"/>
      <c r="J32"/>
      <c r="K32"/>
      <c r="L32"/>
    </row>
    <row r="33" spans="1:12">
      <c r="A33" s="668">
        <f t="shared" si="3"/>
        <v>19</v>
      </c>
      <c r="B33" s="683" t="s">
        <v>187</v>
      </c>
      <c r="C33" s="710"/>
      <c r="D33" s="710"/>
      <c r="E33" s="710"/>
      <c r="F33" s="710">
        <v>3750000000</v>
      </c>
      <c r="G33" s="710"/>
      <c r="H33" s="711">
        <f t="shared" si="2"/>
        <v>3750000000</v>
      </c>
      <c r="I33"/>
      <c r="J33"/>
      <c r="K33"/>
      <c r="L33"/>
    </row>
    <row r="34" spans="1:12">
      <c r="A34" s="668">
        <f t="shared" si="3"/>
        <v>20</v>
      </c>
      <c r="B34" s="683" t="s">
        <v>188</v>
      </c>
      <c r="C34" s="710"/>
      <c r="D34" s="710"/>
      <c r="E34" s="710"/>
      <c r="F34" s="710">
        <v>3750000000</v>
      </c>
      <c r="G34" s="710"/>
      <c r="H34" s="711">
        <f t="shared" si="2"/>
        <v>3750000000</v>
      </c>
      <c r="I34"/>
      <c r="J34"/>
      <c r="K34"/>
      <c r="L34"/>
    </row>
    <row r="35" spans="1:12">
      <c r="A35" s="668">
        <f t="shared" si="3"/>
        <v>21</v>
      </c>
      <c r="B35" s="683" t="s">
        <v>382</v>
      </c>
      <c r="C35" s="710"/>
      <c r="D35" s="710"/>
      <c r="E35" s="710"/>
      <c r="F35" s="710">
        <v>3750000000</v>
      </c>
      <c r="G35" s="710"/>
      <c r="H35" s="711">
        <f t="shared" si="2"/>
        <v>3750000000</v>
      </c>
      <c r="I35"/>
      <c r="J35"/>
      <c r="K35"/>
      <c r="L35"/>
    </row>
    <row r="36" spans="1:12">
      <c r="A36" s="668">
        <f t="shared" si="3"/>
        <v>22</v>
      </c>
      <c r="B36" s="683" t="s">
        <v>189</v>
      </c>
      <c r="C36" s="710"/>
      <c r="D36" s="710"/>
      <c r="E36" s="710"/>
      <c r="F36" s="710">
        <v>3750000000</v>
      </c>
      <c r="G36" s="710"/>
      <c r="H36" s="711">
        <f t="shared" si="2"/>
        <v>3750000000</v>
      </c>
      <c r="I36"/>
      <c r="J36"/>
      <c r="K36"/>
      <c r="L36"/>
    </row>
    <row r="37" spans="1:12">
      <c r="A37" s="668">
        <f t="shared" si="3"/>
        <v>23</v>
      </c>
      <c r="B37" s="683" t="s">
        <v>627</v>
      </c>
      <c r="C37" s="710"/>
      <c r="D37" s="710"/>
      <c r="E37" s="710"/>
      <c r="F37" s="710">
        <v>3750000000</v>
      </c>
      <c r="G37" s="710"/>
      <c r="H37" s="711">
        <f t="shared" si="2"/>
        <v>3750000000</v>
      </c>
      <c r="I37"/>
      <c r="J37"/>
      <c r="K37"/>
      <c r="L37"/>
    </row>
    <row r="38" spans="1:12">
      <c r="A38" s="668">
        <f t="shared" si="3"/>
        <v>24</v>
      </c>
      <c r="B38" s="683" t="s">
        <v>192</v>
      </c>
      <c r="C38" s="710"/>
      <c r="D38" s="710"/>
      <c r="E38" s="710"/>
      <c r="F38" s="710">
        <v>3750000000</v>
      </c>
      <c r="G38" s="710"/>
      <c r="H38" s="711">
        <f t="shared" si="2"/>
        <v>3750000000</v>
      </c>
      <c r="I38"/>
      <c r="J38"/>
      <c r="K38"/>
      <c r="L38"/>
    </row>
    <row r="39" spans="1:12">
      <c r="A39" s="668">
        <f t="shared" si="3"/>
        <v>25</v>
      </c>
      <c r="B39" s="683" t="s">
        <v>560</v>
      </c>
      <c r="C39" s="710"/>
      <c r="D39" s="710"/>
      <c r="E39" s="710"/>
      <c r="F39" s="710">
        <v>3750000000</v>
      </c>
      <c r="G39" s="710"/>
      <c r="H39" s="711">
        <f t="shared" si="2"/>
        <v>3750000000</v>
      </c>
      <c r="I39"/>
      <c r="J39"/>
      <c r="K39"/>
      <c r="L39"/>
    </row>
    <row r="40" spans="1:12">
      <c r="A40" s="668">
        <f t="shared" si="3"/>
        <v>26</v>
      </c>
      <c r="B40" s="683" t="s">
        <v>561</v>
      </c>
      <c r="C40" s="710"/>
      <c r="D40" s="710"/>
      <c r="E40" s="710"/>
      <c r="F40" s="710">
        <v>3750000000</v>
      </c>
      <c r="G40" s="710"/>
      <c r="H40" s="711">
        <f t="shared" si="2"/>
        <v>3750000000</v>
      </c>
      <c r="I40"/>
      <c r="J40"/>
      <c r="K40"/>
      <c r="L40"/>
    </row>
    <row r="41" spans="1:12">
      <c r="A41" s="667">
        <f t="shared" si="3"/>
        <v>27</v>
      </c>
      <c r="B41" s="682" t="s">
        <v>626</v>
      </c>
      <c r="C41" s="710"/>
      <c r="D41" s="710"/>
      <c r="E41" s="710"/>
      <c r="F41" s="710">
        <v>3750000000</v>
      </c>
      <c r="G41" s="710"/>
      <c r="H41" s="711">
        <f t="shared" si="2"/>
        <v>3750000000</v>
      </c>
      <c r="I41"/>
      <c r="J41"/>
      <c r="K41"/>
      <c r="L41"/>
    </row>
    <row r="42" spans="1:12" ht="13.5" thickBot="1">
      <c r="A42" s="681">
        <f t="shared" si="3"/>
        <v>28</v>
      </c>
      <c r="B42" s="680" t="s">
        <v>853</v>
      </c>
      <c r="C42" s="665">
        <f t="shared" ref="C42:H42" si="4">SUM(C29:C41)/13</f>
        <v>0</v>
      </c>
      <c r="D42" s="664">
        <f t="shared" si="4"/>
        <v>0</v>
      </c>
      <c r="E42" s="664">
        <f t="shared" si="4"/>
        <v>0</v>
      </c>
      <c r="F42" s="664">
        <f t="shared" si="4"/>
        <v>3750000000</v>
      </c>
      <c r="G42" s="664">
        <f t="shared" si="4"/>
        <v>0</v>
      </c>
      <c r="H42" s="712">
        <f t="shared" si="4"/>
        <v>3750000000</v>
      </c>
      <c r="I42"/>
      <c r="J42"/>
      <c r="K42"/>
      <c r="L42"/>
    </row>
    <row r="43" spans="1:12" ht="13.5" thickTop="1">
      <c r="A43" s="699"/>
      <c r="B43" s="714"/>
      <c r="C43" s="715"/>
      <c r="D43" s="716"/>
      <c r="E43" s="716"/>
      <c r="F43" s="716"/>
      <c r="G43" s="715"/>
      <c r="H43" s="715"/>
      <c r="I43"/>
      <c r="J43"/>
      <c r="K43"/>
      <c r="L43"/>
    </row>
    <row r="44" spans="1:12" ht="12.75" customHeight="1">
      <c r="A44" s="717" t="s">
        <v>685</v>
      </c>
      <c r="F44" s="407"/>
      <c r="G44" s="407"/>
      <c r="H44" s="407"/>
      <c r="I44"/>
      <c r="J44"/>
      <c r="K44"/>
    </row>
    <row r="45" spans="1:12">
      <c r="E45" s="407"/>
      <c r="F45" s="407"/>
      <c r="G45" s="407"/>
      <c r="H45" s="407"/>
      <c r="J45" s="714"/>
    </row>
    <row r="46" spans="1:12" ht="15">
      <c r="A46" s="719" t="s">
        <v>7</v>
      </c>
      <c r="E46" s="407"/>
      <c r="F46" s="407"/>
      <c r="G46" s="407"/>
      <c r="H46" s="79"/>
    </row>
    <row r="47" spans="1:12" ht="15">
      <c r="A47" s="719"/>
      <c r="B47" s="720" t="s">
        <v>636</v>
      </c>
      <c r="C47" s="720" t="s">
        <v>635</v>
      </c>
      <c r="D47" s="721" t="s">
        <v>634</v>
      </c>
      <c r="E47" s="720" t="s">
        <v>633</v>
      </c>
      <c r="F47" s="721" t="s">
        <v>632</v>
      </c>
      <c r="G47" s="720" t="s">
        <v>654</v>
      </c>
      <c r="H47" s="720" t="s">
        <v>655</v>
      </c>
    </row>
    <row r="48" spans="1:12">
      <c r="A48" s="457">
        <f>+A42+1</f>
        <v>29</v>
      </c>
      <c r="B48" s="722" t="str">
        <f>"Annual Interest Expense for "&amp;TCOS!L4</f>
        <v>Annual Interest Expense for 2025</v>
      </c>
      <c r="C48" s="723"/>
      <c r="D48" s="724"/>
      <c r="E48" s="725"/>
      <c r="F48" s="725"/>
      <c r="G48" s="725"/>
      <c r="H48" s="725"/>
      <c r="I48" s="725"/>
      <c r="J48" s="725"/>
      <c r="K48" s="725"/>
      <c r="L48" s="725"/>
    </row>
    <row r="49" spans="1:12">
      <c r="A49" s="457">
        <f t="shared" ref="A49:A56" si="5">+A48+1</f>
        <v>30</v>
      </c>
      <c r="B49" s="838" t="s">
        <v>757</v>
      </c>
      <c r="C49" s="723"/>
      <c r="D49" s="724"/>
      <c r="E49" s="727">
        <v>155812500</v>
      </c>
      <c r="F49" s="725"/>
      <c r="G49" s="725"/>
      <c r="H49" s="725"/>
      <c r="I49" s="725"/>
      <c r="J49" s="725"/>
      <c r="K49" s="725"/>
      <c r="L49" s="725"/>
    </row>
    <row r="50" spans="1:12" ht="28.5" customHeight="1">
      <c r="A50" s="457">
        <f t="shared" si="5"/>
        <v>31</v>
      </c>
      <c r="B50" s="1289" t="str">
        <f>"Less: Total Hedge Gain/Expense Accumulated from p 256-257, col. (i) of FERC Form 1  included in Ln "&amp;A49&amp;" and shown in "&amp;A74&amp;" below."</f>
        <v>Less: Total Hedge Gain/Expense Accumulated from p 256-257, col. (i) of FERC Form 1  included in Ln 30 and shown in 50 below.</v>
      </c>
      <c r="C50" s="1290"/>
      <c r="D50" s="724"/>
      <c r="E50" s="723">
        <f>+C74</f>
        <v>0</v>
      </c>
      <c r="F50" s="725"/>
      <c r="G50" s="725"/>
      <c r="H50" s="725"/>
      <c r="I50" s="725"/>
      <c r="J50" s="725"/>
      <c r="K50" s="725"/>
      <c r="L50" s="725"/>
    </row>
    <row r="51" spans="1:12" ht="16.5" customHeight="1">
      <c r="A51" s="457">
        <f t="shared" si="5"/>
        <v>32</v>
      </c>
      <c r="B51" s="728" t="str">
        <f>"Plus:  Allowed Hedge Recovery From Ln "&amp;A80&amp;"  below."</f>
        <v>Plus:  Allowed Hedge Recovery From Ln 55  below.</v>
      </c>
      <c r="C51" s="839"/>
      <c r="D51" s="724"/>
      <c r="E51" s="729">
        <f>+E80</f>
        <v>0</v>
      </c>
      <c r="F51" s="725"/>
      <c r="G51" s="725"/>
      <c r="H51" s="725"/>
      <c r="I51" s="725"/>
      <c r="J51" s="725"/>
      <c r="K51" s="725"/>
      <c r="L51" s="725"/>
    </row>
    <row r="52" spans="1:12">
      <c r="A52" s="457">
        <f t="shared" si="5"/>
        <v>33</v>
      </c>
      <c r="B52" s="838" t="s">
        <v>758</v>
      </c>
      <c r="C52" s="725"/>
      <c r="D52" s="725"/>
      <c r="E52" s="727">
        <v>2792763.41</v>
      </c>
      <c r="F52" s="725"/>
      <c r="G52" s="725"/>
      <c r="H52" s="725"/>
      <c r="I52" s="725"/>
      <c r="J52" s="725"/>
    </row>
    <row r="53" spans="1:12">
      <c r="A53" s="457">
        <f t="shared" si="5"/>
        <v>34</v>
      </c>
      <c r="B53" s="838" t="s">
        <v>759</v>
      </c>
      <c r="C53" s="730"/>
      <c r="D53" s="724"/>
      <c r="E53" s="727">
        <v>146040</v>
      </c>
      <c r="F53" s="725"/>
      <c r="G53" s="725"/>
      <c r="H53" s="725"/>
      <c r="I53" s="725"/>
      <c r="J53" s="725"/>
    </row>
    <row r="54" spans="1:12">
      <c r="A54" s="457">
        <f t="shared" si="5"/>
        <v>35</v>
      </c>
      <c r="B54" s="838" t="s">
        <v>760</v>
      </c>
      <c r="C54" s="730"/>
      <c r="D54" s="724"/>
      <c r="E54" s="727"/>
      <c r="F54" s="725"/>
      <c r="G54" s="725"/>
      <c r="H54" s="725"/>
      <c r="I54" s="725"/>
      <c r="J54" s="725"/>
    </row>
    <row r="55" spans="1:12" ht="13.5" thickBot="1">
      <c r="A55" s="457">
        <f t="shared" si="5"/>
        <v>36</v>
      </c>
      <c r="B55" s="838" t="s">
        <v>761</v>
      </c>
      <c r="C55" s="730"/>
      <c r="D55" s="724"/>
      <c r="E55" s="731"/>
      <c r="F55" s="725"/>
      <c r="G55" s="725"/>
      <c r="H55" s="725"/>
      <c r="I55" s="725"/>
      <c r="J55" s="725"/>
    </row>
    <row r="56" spans="1:12">
      <c r="A56" s="457">
        <f t="shared" si="5"/>
        <v>37</v>
      </c>
      <c r="B56" s="722" t="str">
        <f>"Total Interest Expense (Ln "&amp;A49&amp;" - "&amp;A50&amp;" + "&amp;A52&amp;" + "&amp;A53&amp;" - "&amp;A54&amp;" - "&amp;A55&amp;")"</f>
        <v>Total Interest Expense (Ln 30 - 31 + 33 + 34 - 35 - 36)</v>
      </c>
      <c r="C56" s="732"/>
      <c r="D56" s="733"/>
      <c r="E56" s="734">
        <f>+E49-E50+E51+E52+E53-E54-E55</f>
        <v>158751303.41</v>
      </c>
      <c r="F56" s="725"/>
      <c r="G56" s="725"/>
      <c r="H56" s="725"/>
      <c r="I56" s="725"/>
      <c r="J56" s="725"/>
    </row>
    <row r="57" spans="1:12" ht="13.5" thickBot="1">
      <c r="A57" s="457"/>
      <c r="B57" s="726"/>
      <c r="C57" s="730"/>
      <c r="D57" s="724"/>
      <c r="E57" s="734"/>
      <c r="F57" s="725"/>
      <c r="G57" s="725"/>
      <c r="H57" s="725"/>
      <c r="I57" s="725"/>
      <c r="J57" s="725"/>
    </row>
    <row r="58" spans="1:12" ht="13.5" thickBot="1">
      <c r="A58" s="457">
        <f>+A56+1</f>
        <v>38</v>
      </c>
      <c r="B58" s="722" t="str">
        <f>"Average Cost of Debt for "&amp;TCOS!L4&amp;" (Ln "&amp;A56&amp;"/ ln "&amp;A42&amp;" (g))"</f>
        <v>Average Cost of Debt for 2025 (Ln 37/ ln 28 (g))</v>
      </c>
      <c r="C58" s="732"/>
      <c r="D58" s="724"/>
      <c r="E58" s="735">
        <f>+E56/H42</f>
        <v>4.2333680909333329E-2</v>
      </c>
      <c r="F58" s="725"/>
      <c r="G58" s="725"/>
      <c r="H58" s="725"/>
      <c r="I58" s="725"/>
      <c r="J58" s="725"/>
    </row>
    <row r="59" spans="1:12">
      <c r="A59" s="736"/>
      <c r="B59" s="726"/>
      <c r="C59" s="730"/>
      <c r="D59" s="724"/>
      <c r="E59" s="730"/>
      <c r="F59" s="725"/>
      <c r="G59" s="725"/>
      <c r="H59" s="725"/>
      <c r="I59" s="725"/>
      <c r="J59" s="725"/>
    </row>
    <row r="60" spans="1:12" s="737" customFormat="1" ht="28.5" customHeight="1">
      <c r="A60" s="550"/>
      <c r="B60" s="1291" t="s">
        <v>0</v>
      </c>
      <c r="C60" s="1291"/>
      <c r="D60" s="1291"/>
      <c r="E60" s="1291"/>
      <c r="F60" s="551"/>
    </row>
    <row r="61" spans="1:12" s="737" customFormat="1" ht="107.25" customHeight="1">
      <c r="A61" s="552">
        <f>+A58+1</f>
        <v>39</v>
      </c>
      <c r="B61" s="1292" t="s">
        <v>312</v>
      </c>
      <c r="C61" s="1266"/>
      <c r="D61" s="1266"/>
      <c r="E61" s="1266"/>
      <c r="F61" s="407"/>
    </row>
    <row r="62" spans="1:12" s="737" customFormat="1" ht="12" customHeight="1">
      <c r="A62" s="550"/>
      <c r="B62" s="553"/>
      <c r="C62" s="553"/>
      <c r="D62" s="553"/>
      <c r="E62" s="553"/>
      <c r="G62" s="1293" t="s">
        <v>232</v>
      </c>
      <c r="H62" s="1293"/>
    </row>
    <row r="63" spans="1:12" s="737" customFormat="1" ht="52.5" customHeight="1">
      <c r="A63" s="415"/>
      <c r="B63" s="1105" t="s">
        <v>359</v>
      </c>
      <c r="C63" s="738" t="str">
        <f>"Total Hedge (Gain)/Loss for "&amp;TCOS!L4</f>
        <v>Total Hedge (Gain)/Loss for 2025</v>
      </c>
      <c r="D63" s="738" t="str">
        <f>"Less Excludable Amounts (See NOTE on Line "&amp;A61&amp;")"</f>
        <v>Less Excludable Amounts (See NOTE on Line 39)</v>
      </c>
      <c r="E63" s="738" t="s">
        <v>1</v>
      </c>
      <c r="F63" s="738" t="s">
        <v>231</v>
      </c>
      <c r="G63" s="738" t="s">
        <v>283</v>
      </c>
      <c r="H63" s="738" t="s">
        <v>285</v>
      </c>
    </row>
    <row r="64" spans="1:12" s="737" customFormat="1" ht="12.75" customHeight="1">
      <c r="A64" s="415">
        <f>+A61+1</f>
        <v>40</v>
      </c>
      <c r="B64" s="913"/>
      <c r="C64" s="646"/>
      <c r="D64" s="646"/>
      <c r="E64" s="740"/>
      <c r="F64" s="646"/>
      <c r="G64" s="741"/>
      <c r="H64" s="741"/>
      <c r="I64"/>
      <c r="J64"/>
    </row>
    <row r="65" spans="1:8" s="737" customFormat="1" ht="12.75" customHeight="1">
      <c r="A65" s="415">
        <f t="shared" ref="A65:A74" si="6">+A64+1</f>
        <v>41</v>
      </c>
      <c r="B65" s="913"/>
      <c r="C65" s="646"/>
      <c r="D65" s="646"/>
      <c r="E65" s="740"/>
      <c r="F65" s="646"/>
      <c r="G65" s="741"/>
      <c r="H65" s="741"/>
    </row>
    <row r="66" spans="1:8" s="737" customFormat="1" ht="12.75" customHeight="1">
      <c r="A66" s="415">
        <f t="shared" si="6"/>
        <v>42</v>
      </c>
      <c r="B66" s="739"/>
      <c r="C66" s="646"/>
      <c r="D66" s="742"/>
      <c r="E66" s="740">
        <f t="shared" ref="E66:E72" si="7">+C66-D66</f>
        <v>0</v>
      </c>
      <c r="F66" s="646"/>
      <c r="G66" s="741"/>
      <c r="H66" s="741"/>
    </row>
    <row r="67" spans="1:8" s="737" customFormat="1" ht="12.75" customHeight="1">
      <c r="A67" s="415">
        <f t="shared" si="6"/>
        <v>43</v>
      </c>
      <c r="B67" s="739"/>
      <c r="C67" s="646"/>
      <c r="D67" s="742"/>
      <c r="E67" s="740">
        <f t="shared" si="7"/>
        <v>0</v>
      </c>
      <c r="F67" s="646"/>
      <c r="G67" s="741"/>
      <c r="H67" s="741"/>
    </row>
    <row r="68" spans="1:8" s="737" customFormat="1" ht="12.75" customHeight="1">
      <c r="A68" s="415">
        <f t="shared" si="6"/>
        <v>44</v>
      </c>
      <c r="B68" s="739"/>
      <c r="C68" s="646"/>
      <c r="D68" s="739"/>
      <c r="E68" s="740">
        <f t="shared" si="7"/>
        <v>0</v>
      </c>
      <c r="F68" s="646"/>
      <c r="G68" s="741"/>
      <c r="H68" s="741"/>
    </row>
    <row r="69" spans="1:8" s="737" customFormat="1" ht="12.75" customHeight="1">
      <c r="A69" s="415">
        <f t="shared" si="6"/>
        <v>45</v>
      </c>
      <c r="B69" s="739"/>
      <c r="C69" s="646"/>
      <c r="D69" s="739"/>
      <c r="E69" s="740">
        <f t="shared" si="7"/>
        <v>0</v>
      </c>
      <c r="F69" s="646"/>
      <c r="G69" s="741"/>
      <c r="H69" s="741"/>
    </row>
    <row r="70" spans="1:8" s="737" customFormat="1" ht="12.75" customHeight="1">
      <c r="A70" s="415">
        <f t="shared" si="6"/>
        <v>46</v>
      </c>
      <c r="B70" s="739"/>
      <c r="C70" s="646"/>
      <c r="D70" s="739"/>
      <c r="E70" s="740">
        <f t="shared" si="7"/>
        <v>0</v>
      </c>
      <c r="F70" s="646"/>
      <c r="G70" s="741"/>
      <c r="H70" s="741"/>
    </row>
    <row r="71" spans="1:8" s="737" customFormat="1" ht="12.75" customHeight="1">
      <c r="A71" s="415">
        <f t="shared" si="6"/>
        <v>47</v>
      </c>
      <c r="B71" s="739"/>
      <c r="C71" s="646"/>
      <c r="D71" s="743"/>
      <c r="E71" s="740">
        <f t="shared" si="7"/>
        <v>0</v>
      </c>
      <c r="F71" s="646"/>
      <c r="G71" s="741"/>
      <c r="H71" s="741"/>
    </row>
    <row r="72" spans="1:8" s="737" customFormat="1" ht="12.75" customHeight="1">
      <c r="A72" s="415">
        <f t="shared" si="6"/>
        <v>48</v>
      </c>
      <c r="B72" s="739"/>
      <c r="C72" s="646"/>
      <c r="D72" s="727"/>
      <c r="E72" s="740">
        <f t="shared" si="7"/>
        <v>0</v>
      </c>
      <c r="F72" s="744"/>
      <c r="G72" s="744"/>
      <c r="H72" s="744"/>
    </row>
    <row r="73" spans="1:8" s="737" customFormat="1" ht="12.75" customHeight="1">
      <c r="A73" s="415">
        <f t="shared" si="6"/>
        <v>49</v>
      </c>
      <c r="B73" s="4"/>
      <c r="C73" s="745"/>
      <c r="D73" s="745"/>
      <c r="E73" s="746"/>
      <c r="F73" s="740">
        <f>SUM(F64:F72)</f>
        <v>0</v>
      </c>
    </row>
    <row r="74" spans="1:8" s="737" customFormat="1" ht="12.75" customHeight="1">
      <c r="A74" s="415">
        <f t="shared" si="6"/>
        <v>50</v>
      </c>
      <c r="B74" s="726" t="s">
        <v>8</v>
      </c>
      <c r="C74" s="734">
        <f>SUM(C64:C72)</f>
        <v>0</v>
      </c>
      <c r="D74" s="734">
        <f>SUM(D64:D72)</f>
        <v>0</v>
      </c>
    </row>
    <row r="75" spans="1:8" s="737" customFormat="1" ht="21" customHeight="1">
      <c r="A75" s="415"/>
      <c r="B75" s="726"/>
      <c r="C75" s="734"/>
      <c r="D75" s="734"/>
      <c r="E75" s="734"/>
    </row>
    <row r="76" spans="1:8" s="737" customFormat="1" ht="14.25" customHeight="1">
      <c r="A76" s="415">
        <f>+A74+1</f>
        <v>51</v>
      </c>
      <c r="B76" s="726" t="str">
        <f>"Hedge Gain or Loss Prior to Application of Recovery Limit (Sum of Lines "&amp;A64&amp;" to "&amp;A72&amp;")"</f>
        <v>Hedge Gain or Loss Prior to Application of Recovery Limit (Sum of Lines 40 to 48)</v>
      </c>
      <c r="C76" s="734"/>
      <c r="D76" s="734"/>
      <c r="E76" s="734">
        <f>SUM(E64:E72)</f>
        <v>0</v>
      </c>
    </row>
    <row r="77" spans="1:8" s="737" customFormat="1" ht="12.75" customHeight="1">
      <c r="A77" s="415">
        <f>+A76+1</f>
        <v>52</v>
      </c>
      <c r="B77" s="747" t="str">
        <f>"Total Average Capital Structure Balance for "&amp;TCOS!L4&amp;" (TCOS, Ln "&amp;TCOS!B274&amp;")"</f>
        <v>Total Average Capital Structure Balance for 2025 (TCOS, Ln 157)</v>
      </c>
      <c r="C77" s="730"/>
      <c r="D77" s="724"/>
      <c r="E77" s="748">
        <f>TCOS!G274</f>
        <v>7746871170.0965385</v>
      </c>
      <c r="H77" s="740"/>
    </row>
    <row r="78" spans="1:8" s="737" customFormat="1" ht="12.75" customHeight="1">
      <c r="A78" s="415">
        <f>+A77+1</f>
        <v>53</v>
      </c>
      <c r="B78" s="726" t="s">
        <v>489</v>
      </c>
      <c r="C78" s="730"/>
      <c r="D78" s="724"/>
      <c r="E78" s="749">
        <v>5.0000000000000001E-4</v>
      </c>
      <c r="G78" s="750"/>
    </row>
    <row r="79" spans="1:8" s="737" customFormat="1" ht="12.75" customHeight="1" thickBot="1">
      <c r="A79" s="415">
        <f>+A78+1</f>
        <v>54</v>
      </c>
      <c r="B79" s="726" t="s">
        <v>490</v>
      </c>
      <c r="C79" s="730"/>
      <c r="D79" s="724"/>
      <c r="E79" s="751">
        <f>+E77*E78</f>
        <v>3873435.5850482695</v>
      </c>
    </row>
    <row r="80" spans="1:8" s="737" customFormat="1" ht="12.75" customHeight="1" thickBot="1">
      <c r="A80" s="415">
        <f>+A79+1</f>
        <v>55</v>
      </c>
      <c r="B80" s="722" t="str">
        <f>"Recoverable Hedge Amortization (Lesser of Ln "&amp;A76&amp;" or Ln "&amp;A79&amp;")"</f>
        <v>Recoverable Hedge Amortization (Lesser of Ln 51 or Ln 54)</v>
      </c>
      <c r="C80" s="730"/>
      <c r="D80" s="724"/>
      <c r="E80" s="752">
        <f>+IF(E79&lt;E76,E79,E76)</f>
        <v>0</v>
      </c>
    </row>
    <row r="81" spans="1:5" s="737" customFormat="1" ht="12.75" customHeight="1">
      <c r="A81" s="415"/>
      <c r="B81" s="726"/>
      <c r="C81" s="730"/>
      <c r="D81" s="724"/>
      <c r="E81" s="730"/>
    </row>
    <row r="82" spans="1:5" s="737" customFormat="1" ht="12.75" customHeight="1">
      <c r="A82" s="753" t="s">
        <v>9</v>
      </c>
      <c r="B82" s="754"/>
      <c r="C82" s="730"/>
      <c r="D82" s="724"/>
      <c r="E82" s="730"/>
    </row>
    <row r="83" spans="1:5" s="737" customFormat="1" ht="12.75" customHeight="1">
      <c r="A83" s="415"/>
      <c r="B83" s="726"/>
      <c r="C83" s="730"/>
      <c r="D83" s="724"/>
      <c r="E83" s="730"/>
    </row>
    <row r="84" spans="1:5" s="737" customFormat="1" ht="12.75" customHeight="1">
      <c r="A84" s="415"/>
      <c r="B84" s="755" t="s">
        <v>258</v>
      </c>
      <c r="C84" s="756"/>
      <c r="D84" s="724"/>
      <c r="E84" s="756" t="s">
        <v>506</v>
      </c>
    </row>
    <row r="85" spans="1:5" s="737" customFormat="1" ht="12.75" customHeight="1">
      <c r="A85" s="415">
        <f>+A80+1</f>
        <v>56</v>
      </c>
      <c r="B85" s="724" t="str">
        <f>""&amp;C$85*100&amp;"% Series - "&amp;C$86&amp;" - Dividend Rate (p. 250-251)"</f>
        <v>0% Series - 0 - Dividend Rate (p. 250-251)</v>
      </c>
      <c r="C85" s="757">
        <v>0</v>
      </c>
      <c r="D85" s="757">
        <v>0</v>
      </c>
      <c r="E85" s="756"/>
    </row>
    <row r="86" spans="1:5" s="737" customFormat="1" ht="12.75" customHeight="1">
      <c r="A86" s="415">
        <f>+A85+1</f>
        <v>57</v>
      </c>
      <c r="B86" s="724" t="str">
        <f>""&amp;C$85*100&amp;"% Series - "&amp;C$86&amp;" - Par Value (p. 250-251)"</f>
        <v>0% Series - 0 - Par Value (p. 250-251)</v>
      </c>
      <c r="C86" s="758">
        <v>0</v>
      </c>
      <c r="D86" s="758">
        <v>0</v>
      </c>
      <c r="E86" s="756"/>
    </row>
    <row r="87" spans="1:5" s="737" customFormat="1" ht="12.75" customHeight="1">
      <c r="A87" s="415">
        <f>+A86+1</f>
        <v>58</v>
      </c>
      <c r="B87" s="724" t="str">
        <f>""&amp;C$85*100&amp;"% Series - "&amp;C$86&amp;" - Shares O/S (p.250-251) "</f>
        <v xml:space="preserve">0% Series - 0 - Shares O/S (p.250-251) </v>
      </c>
      <c r="C87" s="727">
        <v>0</v>
      </c>
      <c r="D87" s="727">
        <v>0</v>
      </c>
      <c r="E87" s="759"/>
    </row>
    <row r="88" spans="1:5" s="737" customFormat="1" ht="12.75" customHeight="1">
      <c r="A88" s="415">
        <f>+A87+1</f>
        <v>59</v>
      </c>
      <c r="B88" s="724" t="str">
        <f>""&amp;C$85*100&amp;"% Series - "&amp;C$86&amp;" - Monetary Value (Ln "&amp;A86&amp;" * Ln "&amp;A87&amp;")"</f>
        <v>0% Series - 0 - Monetary Value (Ln 57 * Ln 58)</v>
      </c>
      <c r="C88" s="760">
        <f>+C87*C86</f>
        <v>0</v>
      </c>
      <c r="D88" s="760">
        <f>+D87*D86</f>
        <v>0</v>
      </c>
      <c r="E88" s="453">
        <f>IF(C88=D88=0,0,AVERAGE(C88:D88))</f>
        <v>0</v>
      </c>
    </row>
    <row r="89" spans="1:5" s="737" customFormat="1" ht="12.75" customHeight="1">
      <c r="A89" s="415">
        <f>+A88+1</f>
        <v>60</v>
      </c>
      <c r="B89" s="724" t="str">
        <f>""&amp;C$85*100&amp;"% Series - "&amp;C$86&amp;" -  Dividend Amount (Ln "&amp;A85&amp;" * Ln "&amp;A88&amp;")"</f>
        <v>0% Series - 0 -  Dividend Amount (Ln 56 * Ln 59)</v>
      </c>
      <c r="C89" s="760">
        <f>+C88*C85</f>
        <v>0</v>
      </c>
      <c r="D89" s="760">
        <f>+D88*D85</f>
        <v>0</v>
      </c>
      <c r="E89" s="453">
        <f>IF(C89=D89=0,0,AVERAGE(C89:D89))</f>
        <v>0</v>
      </c>
    </row>
    <row r="90" spans="1:5" s="737" customFormat="1" ht="12.75" customHeight="1">
      <c r="A90" s="415"/>
      <c r="B90" s="724"/>
      <c r="C90" s="760"/>
      <c r="D90" s="750"/>
      <c r="E90" s="761"/>
    </row>
    <row r="91" spans="1:5" s="737" customFormat="1" ht="12.75" customHeight="1">
      <c r="A91" s="415">
        <f>+A89+1</f>
        <v>61</v>
      </c>
      <c r="B91" s="724" t="str">
        <f>""&amp;C$91*100&amp;"% Series - "&amp;C$92&amp;" - Dividend Rate (p. 250-251)"</f>
        <v>0% Series - 0 - Dividend Rate (p. 250-251)</v>
      </c>
      <c r="C91" s="757">
        <v>0</v>
      </c>
      <c r="D91" s="757">
        <v>0</v>
      </c>
      <c r="E91" s="761"/>
    </row>
    <row r="92" spans="1:5" s="737" customFormat="1" ht="12.75" customHeight="1">
      <c r="A92" s="415">
        <f>+A91+1</f>
        <v>62</v>
      </c>
      <c r="B92" s="724" t="str">
        <f>""&amp;C$91*100&amp;"% Series - "&amp;C$92&amp;" - Par Value (p. 250-251)"</f>
        <v>0% Series - 0 - Par Value (p. 250-251)</v>
      </c>
      <c r="C92" s="758">
        <v>0</v>
      </c>
      <c r="D92" s="758">
        <v>0</v>
      </c>
      <c r="E92" s="761"/>
    </row>
    <row r="93" spans="1:5" s="737" customFormat="1" ht="12.75" customHeight="1">
      <c r="A93" s="415">
        <f>+A92+1</f>
        <v>63</v>
      </c>
      <c r="B93" s="724" t="str">
        <f>""&amp;C$91*100&amp;"% Series - "&amp;C$92&amp;" - Shares O/S (p.250-251) "</f>
        <v xml:space="preserve">0% Series - 0 - Shares O/S (p.250-251) </v>
      </c>
      <c r="C93" s="727">
        <v>0</v>
      </c>
      <c r="D93" s="727">
        <v>0</v>
      </c>
      <c r="E93" s="761"/>
    </row>
    <row r="94" spans="1:5" s="737" customFormat="1" ht="12.75" customHeight="1">
      <c r="A94" s="415">
        <f>+A93+1</f>
        <v>64</v>
      </c>
      <c r="B94" s="724" t="str">
        <f>""&amp;C$91*100&amp;"% Series - "&amp;C$92&amp;" - Monetary Value (Ln "&amp;A92&amp;" * Ln "&amp;A93&amp;")"</f>
        <v>0% Series - 0 - Monetary Value (Ln 62 * Ln 63)</v>
      </c>
      <c r="C94" s="723">
        <f>+C93*C92</f>
        <v>0</v>
      </c>
      <c r="D94" s="723">
        <f>+D93*D92</f>
        <v>0</v>
      </c>
      <c r="E94" s="453">
        <f>IF(C94=D94=0,0,AVERAGE(C94:D94))</f>
        <v>0</v>
      </c>
    </row>
    <row r="95" spans="1:5" s="737" customFormat="1" ht="12.75" customHeight="1">
      <c r="A95" s="415">
        <f>+A94+1</f>
        <v>65</v>
      </c>
      <c r="B95" s="724" t="str">
        <f>""&amp;C$91*100&amp;"% Series - "&amp;C$92&amp;" -  Dividend Amount (Ln "&amp;A91&amp;" * Ln "&amp;A94&amp;")"</f>
        <v>0% Series - 0 -  Dividend Amount (Ln 61 * Ln 64)</v>
      </c>
      <c r="C95" s="723">
        <f>+C94*C91</f>
        <v>0</v>
      </c>
      <c r="D95" s="723">
        <f>+D94*D91</f>
        <v>0</v>
      </c>
      <c r="E95" s="453">
        <f>IF(C95=D95=0,0,AVERAGE(C95:D95))</f>
        <v>0</v>
      </c>
    </row>
    <row r="96" spans="1:5" s="737" customFormat="1" ht="12.75" customHeight="1">
      <c r="A96" s="415"/>
      <c r="B96" s="724"/>
      <c r="C96" s="723"/>
      <c r="D96" s="723"/>
      <c r="E96" s="453"/>
    </row>
    <row r="97" spans="1:6" s="737" customFormat="1" ht="12.75" customHeight="1">
      <c r="A97" s="415">
        <f>+A95+1</f>
        <v>66</v>
      </c>
      <c r="B97" s="724" t="str">
        <f>""&amp;C$97*100&amp;"% Series - "&amp;C$98&amp;" - Dividend Rate (p. 250-251)"</f>
        <v>0% Series - 0 - Dividend Rate (p. 250-251)</v>
      </c>
      <c r="C97" s="757">
        <v>0</v>
      </c>
      <c r="D97" s="757">
        <v>0</v>
      </c>
      <c r="E97" s="453"/>
    </row>
    <row r="98" spans="1:6" s="737" customFormat="1" ht="12.75" customHeight="1">
      <c r="A98" s="415">
        <f>+A97+1</f>
        <v>67</v>
      </c>
      <c r="B98" s="724" t="str">
        <f>""&amp;C$97*100&amp;"% Series - "&amp;C$98&amp;" - Par Value (p. 250-251)"</f>
        <v>0% Series - 0 - Par Value (p. 250-251)</v>
      </c>
      <c r="C98" s="758">
        <v>0</v>
      </c>
      <c r="D98" s="758">
        <v>0</v>
      </c>
      <c r="E98" s="453"/>
    </row>
    <row r="99" spans="1:6" s="737" customFormat="1" ht="12.75" customHeight="1">
      <c r="A99" s="415">
        <f>+A98+1</f>
        <v>68</v>
      </c>
      <c r="B99" s="724" t="str">
        <f>""&amp;C$97*100&amp;"% Series - "&amp;C$98&amp;" - Shares O/S (p.250-251) "</f>
        <v xml:space="preserve">0% Series - 0 - Shares O/S (p.250-251) </v>
      </c>
      <c r="C99" s="727">
        <v>0</v>
      </c>
      <c r="D99" s="727">
        <v>0</v>
      </c>
      <c r="E99" s="761"/>
    </row>
    <row r="100" spans="1:6" s="737" customFormat="1" ht="12.75" customHeight="1">
      <c r="A100" s="415">
        <f>+A99+1</f>
        <v>69</v>
      </c>
      <c r="B100" s="724" t="str">
        <f>""&amp;C$97*100&amp;"% Series - "&amp;C$98&amp;" - Monetary Value (Ln "&amp;A98&amp;" * Ln "&amp;A99&amp;")"</f>
        <v>0% Series - 0 - Monetary Value (Ln 67 * Ln 68)</v>
      </c>
      <c r="C100" s="723">
        <f>+C99*C98</f>
        <v>0</v>
      </c>
      <c r="D100" s="723">
        <f>+D99*D98</f>
        <v>0</v>
      </c>
      <c r="E100" s="453">
        <f>IF(C100=D100=0,0,AVERAGE(C100:D100))</f>
        <v>0</v>
      </c>
    </row>
    <row r="101" spans="1:6" s="737" customFormat="1" ht="12.75" customHeight="1">
      <c r="A101" s="415">
        <f>+A100+1</f>
        <v>70</v>
      </c>
      <c r="B101" s="724" t="str">
        <f>""&amp;C$97*100&amp;"% Series - "&amp;C$98&amp;" -  Dividend Amount (Ln "&amp;A97&amp;" * Ln "&amp;A100&amp;")"</f>
        <v>0% Series - 0 -  Dividend Amount (Ln 66 * Ln 69)</v>
      </c>
      <c r="C101" s="723">
        <f>+C100*C97</f>
        <v>0</v>
      </c>
      <c r="D101" s="723">
        <f>+D100*D97</f>
        <v>0</v>
      </c>
      <c r="E101" s="453">
        <f>IF(C101=D101=0,0,AVERAGE(C101:D101))</f>
        <v>0</v>
      </c>
    </row>
    <row r="102" spans="1:6" s="737" customFormat="1" ht="12.75" customHeight="1">
      <c r="A102" s="415"/>
      <c r="B102" s="724"/>
      <c r="C102" s="723"/>
      <c r="D102" s="723"/>
    </row>
    <row r="103" spans="1:6" s="737" customFormat="1" ht="12.75" customHeight="1">
      <c r="A103" s="415">
        <f>+A101+1</f>
        <v>71</v>
      </c>
      <c r="B103" s="733" t="str">
        <f>"Balance of Preferred Stock (Lns "&amp;A88&amp;", "&amp;A94&amp;", "&amp;A100&amp;")"</f>
        <v>Balance of Preferred Stock (Lns 59, 64, 69)</v>
      </c>
      <c r="C103" s="723">
        <f>+C88+C94+C100</f>
        <v>0</v>
      </c>
      <c r="D103" s="723">
        <f>+D88+D94+D100</f>
        <v>0</v>
      </c>
      <c r="E103" s="762">
        <f>+E88+E94+E100</f>
        <v>0</v>
      </c>
      <c r="F103" s="724" t="s">
        <v>313</v>
      </c>
    </row>
    <row r="104" spans="1:6" s="737" customFormat="1" ht="12.75" customHeight="1" thickBot="1">
      <c r="A104" s="415">
        <f>+A103+1</f>
        <v>72</v>
      </c>
      <c r="B104" s="733" t="str">
        <f>"Dividends on Preferred Stock (Lns "&amp;A89&amp;", "&amp;A95&amp;", "&amp;A101&amp;")"</f>
        <v>Dividends on Preferred Stock (Lns 60, 65, 70)</v>
      </c>
      <c r="C104" s="763">
        <f>+C95+C89+C101</f>
        <v>0</v>
      </c>
      <c r="D104" s="763">
        <f>+D95+D89+D101</f>
        <v>0</v>
      </c>
      <c r="E104" s="764">
        <f>+E101+E95+E89</f>
        <v>0</v>
      </c>
    </row>
    <row r="105" spans="1:6" s="737" customFormat="1" ht="12.75" customHeight="1" thickBot="1">
      <c r="A105" s="415">
        <f>+A104+1</f>
        <v>73</v>
      </c>
      <c r="B105" s="733" t="str">
        <f>"Average Cost of Preferred Stock (Ln "&amp;A104&amp;"/"&amp;A103&amp;")"</f>
        <v>Average Cost of Preferred Stock (Ln 72/71)</v>
      </c>
      <c r="C105" s="730">
        <f>IF(C103=0,0,C104/C103)</f>
        <v>0</v>
      </c>
      <c r="D105" s="730">
        <f>IF(D103=0,0,D104/D103)</f>
        <v>0</v>
      </c>
      <c r="E105" s="735">
        <f>IF(E103=0,0,+E104/E103)</f>
        <v>0</v>
      </c>
    </row>
    <row r="147" spans="7:7">
      <c r="G147" s="698" t="s">
        <v>114</v>
      </c>
    </row>
    <row r="164" spans="7:12">
      <c r="G164" s="966"/>
      <c r="L164" s="966"/>
    </row>
  </sheetData>
  <mergeCells count="10">
    <mergeCell ref="B50:C50"/>
    <mergeCell ref="B60:E60"/>
    <mergeCell ref="B61:E61"/>
    <mergeCell ref="G62:H62"/>
    <mergeCell ref="A1:G1"/>
    <mergeCell ref="A2:G2"/>
    <mergeCell ref="A3:G3"/>
    <mergeCell ref="A4:G4"/>
    <mergeCell ref="C6:G6"/>
    <mergeCell ref="C25:H25"/>
  </mergeCells>
  <pageMargins left="0.7" right="0.7" top="0.75" bottom="0.75" header="0.3" footer="0.3"/>
  <pageSetup scale="46" fitToHeight="0" orientation="landscape" cellComments="asDisplayed" r:id="rId1"/>
  <headerFooter>
    <oddHeader xml:space="preserve">&amp;L&amp;"Times New Roman,Bold Italic"&amp;12Privileged and Confidential
Subject to FERC Rules 602 and 606&amp;RPage &amp;P of &amp;N
</oddHeader>
  </headerFooter>
  <rowBreaks count="1" manualBreakCount="1">
    <brk id="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92"/>
  <sheetViews>
    <sheetView tabSelected="1" view="pageBreakPreview" topLeftCell="B31" zoomScale="85" zoomScaleNormal="100" zoomScaleSheetLayoutView="85" zoomScalePageLayoutView="50" workbookViewId="0">
      <selection activeCell="D11" sqref="D11"/>
    </sheetView>
  </sheetViews>
  <sheetFormatPr defaultColWidth="11.42578125" defaultRowHeight="12.75"/>
  <cols>
    <col min="1" max="1" width="10.42578125" style="661" customWidth="1"/>
    <col min="2" max="2" width="64.5703125" style="4" customWidth="1"/>
    <col min="3" max="3" width="26.5703125" style="4" bestFit="1" customWidth="1"/>
    <col min="4" max="11" width="20.42578125" style="4" customWidth="1"/>
    <col min="12" max="12" width="20" style="4" customWidth="1"/>
    <col min="13" max="14" width="15.140625" style="4" customWidth="1"/>
    <col min="15" max="16384" width="11.42578125" style="4"/>
  </cols>
  <sheetData>
    <row r="1" spans="1:13" ht="15">
      <c r="A1" s="1234" t="s">
        <v>387</v>
      </c>
      <c r="B1" s="1234"/>
      <c r="C1" s="1234"/>
      <c r="D1" s="1234"/>
      <c r="E1" s="1234"/>
      <c r="F1" s="1234"/>
      <c r="G1" s="1234"/>
      <c r="H1" s="79"/>
      <c r="I1" s="79"/>
    </row>
    <row r="2" spans="1:13" ht="15">
      <c r="A2" s="1235" t="str">
        <f>"Cost of Service Formula Rate Using Actual/Projected FF1 Balances"</f>
        <v>Cost of Service Formula Rate Using Actual/Projected FF1 Balances</v>
      </c>
      <c r="B2" s="1235"/>
      <c r="C2" s="1235"/>
      <c r="D2" s="1235"/>
      <c r="E2" s="1235"/>
      <c r="F2" s="1235"/>
      <c r="G2" s="1235"/>
      <c r="H2" s="79"/>
      <c r="I2" s="79"/>
      <c r="J2" s="79"/>
      <c r="L2" s="531"/>
    </row>
    <row r="3" spans="1:13" ht="15">
      <c r="A3" s="1235" t="s">
        <v>653</v>
      </c>
      <c r="B3" s="1235"/>
      <c r="C3" s="1235"/>
      <c r="D3" s="1235"/>
      <c r="E3" s="1235"/>
      <c r="F3" s="1235"/>
      <c r="G3" s="1235"/>
      <c r="H3" s="79"/>
      <c r="I3" s="79"/>
      <c r="J3" s="79"/>
    </row>
    <row r="4" spans="1:13" ht="15">
      <c r="A4" s="1236" t="str">
        <f>TCOS!F9</f>
        <v>Ohio Power Company</v>
      </c>
      <c r="B4" s="1236"/>
      <c r="C4" s="1236"/>
      <c r="D4" s="1236"/>
      <c r="E4" s="1236"/>
      <c r="F4" s="1236"/>
      <c r="G4" s="1236"/>
      <c r="H4" s="79"/>
      <c r="I4" s="79"/>
      <c r="J4" s="79"/>
    </row>
    <row r="5" spans="1:13">
      <c r="A5" s="79"/>
      <c r="B5" s="688"/>
      <c r="C5" s="688"/>
      <c r="D5" s="688"/>
      <c r="E5" s="690"/>
      <c r="F5" s="670"/>
      <c r="H5" s="670"/>
      <c r="J5" s="670"/>
      <c r="L5" s="670"/>
    </row>
    <row r="6" spans="1:13" ht="12.75" customHeight="1">
      <c r="A6" s="79"/>
      <c r="B6" s="688"/>
      <c r="C6" s="1237" t="s">
        <v>652</v>
      </c>
      <c r="D6" s="1238"/>
      <c r="E6" s="1238"/>
      <c r="F6" s="1238"/>
      <c r="G6" s="1238"/>
      <c r="H6" s="1238"/>
      <c r="I6" s="1238"/>
      <c r="J6" s="1238"/>
      <c r="K6" s="1238"/>
      <c r="L6" s="1238"/>
      <c r="M6" s="1239"/>
    </row>
    <row r="7" spans="1:13" s="483" customFormat="1" ht="25.5">
      <c r="A7" s="687" t="s">
        <v>642</v>
      </c>
      <c r="B7" s="686" t="s">
        <v>641</v>
      </c>
      <c r="C7" s="674" t="s">
        <v>229</v>
      </c>
      <c r="D7" s="674" t="s">
        <v>650</v>
      </c>
      <c r="E7" s="674" t="s">
        <v>115</v>
      </c>
      <c r="F7" s="674" t="s">
        <v>649</v>
      </c>
      <c r="G7" s="674" t="s">
        <v>438</v>
      </c>
      <c r="H7" s="674" t="s">
        <v>648</v>
      </c>
      <c r="I7" s="674" t="s">
        <v>334</v>
      </c>
      <c r="J7" s="674" t="s">
        <v>647</v>
      </c>
      <c r="K7" s="674" t="s">
        <v>646</v>
      </c>
      <c r="L7" s="674" t="s">
        <v>1316</v>
      </c>
      <c r="M7" s="673" t="s">
        <v>1317</v>
      </c>
    </row>
    <row r="8" spans="1:13" s="669" customFormat="1">
      <c r="A8" s="668"/>
      <c r="B8" s="671" t="s">
        <v>636</v>
      </c>
      <c r="C8" s="670" t="s">
        <v>635</v>
      </c>
      <c r="D8" s="670" t="s">
        <v>634</v>
      </c>
      <c r="E8" s="670" t="s">
        <v>633</v>
      </c>
      <c r="F8" s="670" t="s">
        <v>632</v>
      </c>
      <c r="G8" s="670" t="s">
        <v>654</v>
      </c>
      <c r="H8" s="670" t="s">
        <v>655</v>
      </c>
      <c r="I8" s="670" t="s">
        <v>645</v>
      </c>
      <c r="J8" s="670" t="s">
        <v>644</v>
      </c>
      <c r="K8" s="1175" t="s">
        <v>643</v>
      </c>
      <c r="L8" s="670" t="s">
        <v>1318</v>
      </c>
      <c r="M8" s="671" t="s">
        <v>1319</v>
      </c>
    </row>
    <row r="9" spans="1:13" s="669" customFormat="1" ht="44.25" customHeight="1">
      <c r="A9" s="668"/>
      <c r="B9" s="671" t="s">
        <v>631</v>
      </c>
      <c r="C9" s="1171" t="s">
        <v>442</v>
      </c>
      <c r="D9" s="1171" t="s">
        <v>447</v>
      </c>
      <c r="E9" s="1171" t="s">
        <v>443</v>
      </c>
      <c r="F9" s="1171" t="s">
        <v>656</v>
      </c>
      <c r="G9" s="1171" t="s">
        <v>444</v>
      </c>
      <c r="H9" s="1171" t="s">
        <v>445</v>
      </c>
      <c r="I9" s="1171" t="s">
        <v>657</v>
      </c>
      <c r="J9" s="1171" t="s">
        <v>658</v>
      </c>
      <c r="K9" s="1171" t="s">
        <v>446</v>
      </c>
      <c r="L9" s="1171" t="s">
        <v>1320</v>
      </c>
      <c r="M9" s="1172" t="s">
        <v>1321</v>
      </c>
    </row>
    <row r="10" spans="1:13">
      <c r="A10" s="668">
        <v>1</v>
      </c>
      <c r="B10" s="684" t="s">
        <v>629</v>
      </c>
      <c r="C10" s="1176">
        <v>0</v>
      </c>
      <c r="D10" s="1176">
        <v>0</v>
      </c>
      <c r="E10" s="1176">
        <v>3661656065.3399992</v>
      </c>
      <c r="F10" s="1176">
        <v>3119.85</v>
      </c>
      <c r="G10" s="1176">
        <v>7241363266.3899984</v>
      </c>
      <c r="H10" s="1176">
        <v>0</v>
      </c>
      <c r="I10" s="1176">
        <v>961439708.54000008</v>
      </c>
      <c r="J10" s="1176">
        <v>603499.4</v>
      </c>
      <c r="K10" s="1176">
        <v>271170484.94999999</v>
      </c>
      <c r="L10" s="1176">
        <v>0</v>
      </c>
      <c r="M10" s="1205">
        <v>0</v>
      </c>
    </row>
    <row r="11" spans="1:13">
      <c r="A11" s="668">
        <f>+A10+1</f>
        <v>2</v>
      </c>
      <c r="B11" s="684" t="s">
        <v>185</v>
      </c>
      <c r="C11" s="1176">
        <v>0</v>
      </c>
      <c r="D11" s="1176">
        <v>0</v>
      </c>
      <c r="E11" s="1176">
        <v>3664988310.2600002</v>
      </c>
      <c r="F11" s="1176">
        <v>3119.85</v>
      </c>
      <c r="G11" s="1176">
        <v>7310455398.9100008</v>
      </c>
      <c r="H11" s="1176">
        <v>0</v>
      </c>
      <c r="I11" s="1176">
        <v>1185816489.6199999</v>
      </c>
      <c r="J11" s="1176">
        <v>603499.4</v>
      </c>
      <c r="K11" s="1176">
        <v>9443.7400000095367</v>
      </c>
      <c r="L11" s="1176">
        <v>45255.49</v>
      </c>
      <c r="M11" s="1206">
        <v>0</v>
      </c>
    </row>
    <row r="12" spans="1:13">
      <c r="A12" s="668">
        <f t="shared" ref="A12:A23" si="0">+A11+1</f>
        <v>3</v>
      </c>
      <c r="B12" s="683" t="s">
        <v>559</v>
      </c>
      <c r="C12" s="1176">
        <v>0</v>
      </c>
      <c r="D12" s="1176">
        <v>0</v>
      </c>
      <c r="E12" s="1176">
        <v>3671129648.7199988</v>
      </c>
      <c r="F12" s="1176">
        <v>3119.85</v>
      </c>
      <c r="G12" s="1176">
        <v>7319152849.1300001</v>
      </c>
      <c r="H12" s="1176">
        <v>0</v>
      </c>
      <c r="I12" s="1176">
        <v>1190402286.26</v>
      </c>
      <c r="J12" s="1176">
        <v>603499.4</v>
      </c>
      <c r="K12" s="1176">
        <v>9443.74</v>
      </c>
      <c r="L12" s="1176">
        <v>45255.49</v>
      </c>
      <c r="M12" s="1206">
        <v>0</v>
      </c>
    </row>
    <row r="13" spans="1:13">
      <c r="A13" s="668">
        <f t="shared" si="0"/>
        <v>4</v>
      </c>
      <c r="B13" s="683" t="s">
        <v>628</v>
      </c>
      <c r="C13" s="1176">
        <v>0</v>
      </c>
      <c r="D13" s="1176">
        <v>0</v>
      </c>
      <c r="E13" s="1176">
        <v>3684637151.0699992</v>
      </c>
      <c r="F13" s="1176">
        <v>3119.85</v>
      </c>
      <c r="G13" s="1176">
        <v>7348974630.54</v>
      </c>
      <c r="H13" s="1176">
        <v>0</v>
      </c>
      <c r="I13" s="1176">
        <v>1178747701.75</v>
      </c>
      <c r="J13" s="1176">
        <v>603499.4</v>
      </c>
      <c r="K13" s="1176">
        <v>9443.74</v>
      </c>
      <c r="L13" s="1176">
        <v>45255.49</v>
      </c>
      <c r="M13" s="1206">
        <v>0</v>
      </c>
    </row>
    <row r="14" spans="1:13">
      <c r="A14" s="668">
        <f t="shared" si="0"/>
        <v>5</v>
      </c>
      <c r="B14" s="683" t="s">
        <v>187</v>
      </c>
      <c r="C14" s="1176">
        <v>0</v>
      </c>
      <c r="D14" s="1176">
        <v>0</v>
      </c>
      <c r="E14" s="1176">
        <v>3718941672.8000002</v>
      </c>
      <c r="F14" s="1176">
        <v>3119.85</v>
      </c>
      <c r="G14" s="1176">
        <v>7370261871.4899998</v>
      </c>
      <c r="H14" s="1176">
        <v>0</v>
      </c>
      <c r="I14" s="1176">
        <v>1180653370.0899994</v>
      </c>
      <c r="J14" s="1176">
        <v>603499.4</v>
      </c>
      <c r="K14" s="1176">
        <v>9443.74</v>
      </c>
      <c r="L14" s="1176">
        <v>45255.49</v>
      </c>
      <c r="M14" s="1206">
        <v>0</v>
      </c>
    </row>
    <row r="15" spans="1:13">
      <c r="A15" s="668">
        <f t="shared" si="0"/>
        <v>6</v>
      </c>
      <c r="B15" s="683" t="s">
        <v>188</v>
      </c>
      <c r="C15" s="1176">
        <v>0</v>
      </c>
      <c r="D15" s="1176">
        <v>0</v>
      </c>
      <c r="E15" s="1176">
        <v>3734362975.1100006</v>
      </c>
      <c r="F15" s="1176">
        <v>3119.85</v>
      </c>
      <c r="G15" s="1176">
        <v>7408644759.8000002</v>
      </c>
      <c r="H15" s="1176">
        <v>0</v>
      </c>
      <c r="I15" s="1176">
        <v>1181207868.9200003</v>
      </c>
      <c r="J15" s="1176">
        <v>603499.4</v>
      </c>
      <c r="K15" s="1176">
        <v>9443.74</v>
      </c>
      <c r="L15" s="1176">
        <v>45255.49</v>
      </c>
      <c r="M15" s="1206">
        <v>0</v>
      </c>
    </row>
    <row r="16" spans="1:13">
      <c r="A16" s="668">
        <f t="shared" si="0"/>
        <v>7</v>
      </c>
      <c r="B16" s="683" t="s">
        <v>382</v>
      </c>
      <c r="C16" s="1176">
        <v>0</v>
      </c>
      <c r="D16" s="1176">
        <v>0</v>
      </c>
      <c r="E16" s="1176">
        <v>3751168185.9400001</v>
      </c>
      <c r="F16" s="1176">
        <v>3119.85</v>
      </c>
      <c r="G16" s="1176">
        <v>7454317401.9799995</v>
      </c>
      <c r="H16" s="1176">
        <v>0</v>
      </c>
      <c r="I16" s="1176">
        <v>1162951890.6999996</v>
      </c>
      <c r="J16" s="1176">
        <v>603499.4</v>
      </c>
      <c r="K16" s="1176">
        <v>-20956.7</v>
      </c>
      <c r="L16" s="1176">
        <v>45255.49</v>
      </c>
      <c r="M16" s="1206">
        <v>0</v>
      </c>
    </row>
    <row r="17" spans="1:13">
      <c r="A17" s="668">
        <f t="shared" si="0"/>
        <v>8</v>
      </c>
      <c r="B17" s="683" t="s">
        <v>189</v>
      </c>
      <c r="C17" s="1176">
        <v>0</v>
      </c>
      <c r="D17" s="1176">
        <v>0</v>
      </c>
      <c r="E17" s="1176">
        <v>3781574991.6700006</v>
      </c>
      <c r="F17" s="1176">
        <v>3119.85</v>
      </c>
      <c r="G17" s="1176">
        <v>7500258217.3800001</v>
      </c>
      <c r="H17" s="1176">
        <v>0</v>
      </c>
      <c r="I17" s="1176">
        <v>1168178289.8899999</v>
      </c>
      <c r="J17" s="1176">
        <v>603499.4</v>
      </c>
      <c r="K17" s="1176">
        <v>9443.74</v>
      </c>
      <c r="L17" s="1176">
        <v>45255.49</v>
      </c>
      <c r="M17" s="1206">
        <v>0</v>
      </c>
    </row>
    <row r="18" spans="1:13">
      <c r="A18" s="668">
        <f t="shared" si="0"/>
        <v>9</v>
      </c>
      <c r="B18" s="683" t="s">
        <v>627</v>
      </c>
      <c r="C18" s="1176">
        <v>0</v>
      </c>
      <c r="D18" s="1176">
        <v>0</v>
      </c>
      <c r="E18" s="1176">
        <v>3823240672.7800007</v>
      </c>
      <c r="F18" s="1176">
        <v>3119.85</v>
      </c>
      <c r="G18" s="1176">
        <v>7539303481.5600004</v>
      </c>
      <c r="H18" s="1176">
        <v>0</v>
      </c>
      <c r="I18" s="1176">
        <v>1173456700.4799995</v>
      </c>
      <c r="J18" s="1176">
        <v>603499.4</v>
      </c>
      <c r="K18" s="1176">
        <v>9443.74</v>
      </c>
      <c r="L18" s="1176">
        <v>45255.49</v>
      </c>
      <c r="M18" s="1206">
        <v>0</v>
      </c>
    </row>
    <row r="19" spans="1:13">
      <c r="A19" s="668">
        <f t="shared" si="0"/>
        <v>10</v>
      </c>
      <c r="B19" s="683" t="s">
        <v>192</v>
      </c>
      <c r="C19" s="1176">
        <v>0</v>
      </c>
      <c r="D19" s="1176">
        <v>0</v>
      </c>
      <c r="E19" s="1176">
        <v>3848646333.8300009</v>
      </c>
      <c r="F19" s="1176">
        <v>3119.85</v>
      </c>
      <c r="G19" s="1176">
        <v>7580423007.46</v>
      </c>
      <c r="H19" s="1176">
        <v>0</v>
      </c>
      <c r="I19" s="1176">
        <v>1161652013.4000001</v>
      </c>
      <c r="J19" s="1176">
        <v>594526.81999999995</v>
      </c>
      <c r="K19" s="1176">
        <v>37680.26</v>
      </c>
      <c r="L19" s="1176">
        <v>45255.49</v>
      </c>
      <c r="M19" s="1206">
        <v>0</v>
      </c>
    </row>
    <row r="20" spans="1:13">
      <c r="A20" s="668">
        <f t="shared" si="0"/>
        <v>11</v>
      </c>
      <c r="B20" s="683" t="s">
        <v>560</v>
      </c>
      <c r="C20" s="1176">
        <v>0</v>
      </c>
      <c r="D20" s="1176">
        <v>0</v>
      </c>
      <c r="E20" s="1176">
        <v>3859613986.3199997</v>
      </c>
      <c r="F20" s="1176">
        <v>3119.85</v>
      </c>
      <c r="G20" s="1176">
        <v>7622626100.6499996</v>
      </c>
      <c r="H20" s="1176">
        <v>0</v>
      </c>
      <c r="I20" s="1176">
        <v>1163393039.9199998</v>
      </c>
      <c r="J20" s="1176">
        <v>594526.81999999995</v>
      </c>
      <c r="K20" s="1176">
        <v>9443.74</v>
      </c>
      <c r="L20" s="1176">
        <v>45255.49</v>
      </c>
      <c r="M20" s="1206">
        <v>0</v>
      </c>
    </row>
    <row r="21" spans="1:13">
      <c r="A21" s="668">
        <f t="shared" si="0"/>
        <v>12</v>
      </c>
      <c r="B21" s="683" t="s">
        <v>561</v>
      </c>
      <c r="C21" s="1176">
        <v>0</v>
      </c>
      <c r="D21" s="1176">
        <v>0</v>
      </c>
      <c r="E21" s="1176">
        <v>3895627762.7299995</v>
      </c>
      <c r="F21" s="1176">
        <v>3119.85</v>
      </c>
      <c r="G21" s="1176">
        <v>7664086136.75</v>
      </c>
      <c r="H21" s="1176">
        <v>0</v>
      </c>
      <c r="I21" s="1176">
        <v>1165521060.4899993</v>
      </c>
      <c r="J21" s="1176">
        <v>594526.81999999995</v>
      </c>
      <c r="K21" s="1176">
        <v>9443.74</v>
      </c>
      <c r="L21" s="1176">
        <v>45255.49</v>
      </c>
      <c r="M21" s="1206">
        <v>0</v>
      </c>
    </row>
    <row r="22" spans="1:13">
      <c r="A22" s="667">
        <f t="shared" si="0"/>
        <v>13</v>
      </c>
      <c r="B22" s="682" t="s">
        <v>626</v>
      </c>
      <c r="C22" s="1176">
        <v>0</v>
      </c>
      <c r="D22" s="1176">
        <v>0</v>
      </c>
      <c r="E22" s="1176">
        <v>3932037774.7999997</v>
      </c>
      <c r="F22" s="1176">
        <v>3119.85</v>
      </c>
      <c r="G22" s="1176">
        <v>7736288903.1700001</v>
      </c>
      <c r="H22" s="1176">
        <v>0</v>
      </c>
      <c r="I22" s="1176">
        <v>1171935773.8399997</v>
      </c>
      <c r="J22" s="1176">
        <v>1018783.52</v>
      </c>
      <c r="K22" s="1176">
        <v>9443.74</v>
      </c>
      <c r="L22" s="1176">
        <v>45255.49</v>
      </c>
      <c r="M22" s="1206">
        <v>0</v>
      </c>
    </row>
    <row r="23" spans="1:13" ht="13.5" thickBot="1">
      <c r="A23" s="865">
        <f t="shared" si="0"/>
        <v>14</v>
      </c>
      <c r="B23" s="866" t="s">
        <v>852</v>
      </c>
      <c r="C23" s="1173">
        <f>SUM(C10:C22)/13</f>
        <v>0</v>
      </c>
      <c r="D23" s="1173">
        <f t="shared" ref="D23:K23" si="1">SUM(D10:D22)/13</f>
        <v>0</v>
      </c>
      <c r="E23" s="1173">
        <f t="shared" si="1"/>
        <v>3771355810.1053853</v>
      </c>
      <c r="F23" s="1173">
        <f t="shared" si="1"/>
        <v>3119.849999999999</v>
      </c>
      <c r="G23" s="1173">
        <f t="shared" si="1"/>
        <v>7468935078.8623066</v>
      </c>
      <c r="H23" s="1173">
        <f t="shared" si="1"/>
        <v>0</v>
      </c>
      <c r="I23" s="1173">
        <f t="shared" si="1"/>
        <v>1157335091.8384614</v>
      </c>
      <c r="J23" s="1173">
        <f t="shared" si="1"/>
        <v>633373.73692307703</v>
      </c>
      <c r="K23" s="1173">
        <f t="shared" si="1"/>
        <v>20867818.916153852</v>
      </c>
      <c r="L23" s="1173">
        <f t="shared" ref="L23:M23" si="2">SUM(L10:L22)/13</f>
        <v>41774.298461538463</v>
      </c>
      <c r="M23" s="1174">
        <f t="shared" si="2"/>
        <v>0</v>
      </c>
    </row>
    <row r="24" spans="1:13" ht="13.5" thickTop="1">
      <c r="A24" s="79"/>
      <c r="B24" s="663"/>
      <c r="C24" s="679"/>
      <c r="D24" s="662"/>
      <c r="E24" s="662"/>
      <c r="F24" s="662"/>
      <c r="G24" s="679"/>
      <c r="H24" s="679"/>
      <c r="I24" s="679"/>
      <c r="J24" s="689"/>
      <c r="K24" s="689"/>
    </row>
    <row r="25" spans="1:13" ht="12.75" customHeight="1">
      <c r="A25" s="79"/>
      <c r="B25" s="688"/>
      <c r="C25" s="1237" t="s">
        <v>651</v>
      </c>
      <c r="D25" s="1238"/>
      <c r="E25" s="1238"/>
      <c r="F25" s="1238"/>
      <c r="G25" s="1238"/>
      <c r="H25" s="1238"/>
      <c r="I25" s="1238"/>
      <c r="J25" s="1238"/>
      <c r="K25" s="1238"/>
      <c r="L25" s="1238"/>
      <c r="M25" s="1239"/>
    </row>
    <row r="26" spans="1:13" s="483" customFormat="1" ht="25.5">
      <c r="A26" s="687" t="s">
        <v>642</v>
      </c>
      <c r="B26" s="686" t="s">
        <v>641</v>
      </c>
      <c r="C26" s="674" t="s">
        <v>229</v>
      </c>
      <c r="D26" s="674" t="s">
        <v>650</v>
      </c>
      <c r="E26" s="674" t="s">
        <v>115</v>
      </c>
      <c r="F26" s="674" t="s">
        <v>649</v>
      </c>
      <c r="G26" s="674" t="s">
        <v>438</v>
      </c>
      <c r="H26" s="674" t="s">
        <v>648</v>
      </c>
      <c r="I26" s="674" t="s">
        <v>334</v>
      </c>
      <c r="J26" s="674" t="s">
        <v>647</v>
      </c>
      <c r="K26" s="674" t="s">
        <v>646</v>
      </c>
      <c r="L26" s="674" t="s">
        <v>1316</v>
      </c>
      <c r="M26" s="673" t="s">
        <v>1317</v>
      </c>
    </row>
    <row r="27" spans="1:13" s="669" customFormat="1">
      <c r="A27" s="668"/>
      <c r="B27" s="671" t="s">
        <v>636</v>
      </c>
      <c r="C27" s="670" t="s">
        <v>635</v>
      </c>
      <c r="D27" s="670" t="s">
        <v>634</v>
      </c>
      <c r="E27" s="670" t="s">
        <v>633</v>
      </c>
      <c r="F27" s="670" t="s">
        <v>632</v>
      </c>
      <c r="G27" s="670" t="s">
        <v>654</v>
      </c>
      <c r="H27" s="670" t="s">
        <v>655</v>
      </c>
      <c r="I27" s="670" t="s">
        <v>645</v>
      </c>
      <c r="J27" s="670" t="s">
        <v>644</v>
      </c>
      <c r="K27" s="1175" t="s">
        <v>643</v>
      </c>
      <c r="L27" s="670" t="s">
        <v>1318</v>
      </c>
      <c r="M27" s="671" t="s">
        <v>1319</v>
      </c>
    </row>
    <row r="28" spans="1:13" s="669" customFormat="1" ht="44.25" customHeight="1">
      <c r="A28" s="668"/>
      <c r="B28" s="671" t="s">
        <v>631</v>
      </c>
      <c r="C28" s="1171" t="s">
        <v>379</v>
      </c>
      <c r="D28" s="1171" t="s">
        <v>659</v>
      </c>
      <c r="E28" s="1171" t="s">
        <v>380</v>
      </c>
      <c r="F28" s="1171" t="s">
        <v>660</v>
      </c>
      <c r="G28" s="1171" t="s">
        <v>507</v>
      </c>
      <c r="H28" s="1171" t="s">
        <v>661</v>
      </c>
      <c r="I28" s="1171" t="s">
        <v>481</v>
      </c>
      <c r="J28" s="1171" t="s">
        <v>662</v>
      </c>
      <c r="K28" s="1171" t="s">
        <v>508</v>
      </c>
      <c r="L28" s="1171" t="s">
        <v>1322</v>
      </c>
      <c r="M28" s="1172" t="s">
        <v>661</v>
      </c>
    </row>
    <row r="29" spans="1:13">
      <c r="A29" s="668">
        <f>+A23+1</f>
        <v>15</v>
      </c>
      <c r="B29" s="684" t="s">
        <v>629</v>
      </c>
      <c r="C29" s="1176">
        <v>0</v>
      </c>
      <c r="D29" s="1176">
        <v>0</v>
      </c>
      <c r="E29" s="1176">
        <v>972227465.80000031</v>
      </c>
      <c r="F29" s="1176">
        <v>3119.85</v>
      </c>
      <c r="G29" s="1176">
        <v>2063932875.6200001</v>
      </c>
      <c r="H29" s="1176">
        <v>0</v>
      </c>
      <c r="I29" s="1176">
        <v>164572105.99999997</v>
      </c>
      <c r="J29" s="1176">
        <v>392281.14999999997</v>
      </c>
      <c r="K29" s="1176">
        <v>152105471.33000001</v>
      </c>
      <c r="L29" s="1176">
        <v>0</v>
      </c>
      <c r="M29" s="1205">
        <v>0</v>
      </c>
    </row>
    <row r="30" spans="1:13">
      <c r="A30" s="668">
        <f>+A29+1</f>
        <v>16</v>
      </c>
      <c r="B30" s="684" t="s">
        <v>185</v>
      </c>
      <c r="C30" s="1176">
        <v>0</v>
      </c>
      <c r="D30" s="1176">
        <v>0</v>
      </c>
      <c r="E30" s="1176">
        <v>973115026.92000031</v>
      </c>
      <c r="F30" s="1176">
        <v>3119.85</v>
      </c>
      <c r="G30" s="1176">
        <v>2075490014.5800006</v>
      </c>
      <c r="H30" s="1176">
        <v>0</v>
      </c>
      <c r="I30" s="1176">
        <v>317769215.73000002</v>
      </c>
      <c r="J30" s="1176">
        <v>394329.43</v>
      </c>
      <c r="K30" s="1176">
        <v>5100460.12</v>
      </c>
      <c r="L30" s="1176">
        <v>-29493.59</v>
      </c>
      <c r="M30" s="1206">
        <v>0</v>
      </c>
    </row>
    <row r="31" spans="1:13">
      <c r="A31" s="668">
        <f t="shared" ref="A31:A42" si="3">+A30+1</f>
        <v>17</v>
      </c>
      <c r="B31" s="683" t="s">
        <v>559</v>
      </c>
      <c r="C31" s="1176">
        <v>0</v>
      </c>
      <c r="D31" s="1176">
        <v>0</v>
      </c>
      <c r="E31" s="1176">
        <v>974891804.41999984</v>
      </c>
      <c r="F31" s="1176">
        <v>3119.85</v>
      </c>
      <c r="G31" s="1176">
        <v>2080192904.5500002</v>
      </c>
      <c r="H31" s="1176">
        <v>0</v>
      </c>
      <c r="I31" s="1176">
        <v>316530475.85999995</v>
      </c>
      <c r="J31" s="1176">
        <v>396377.87</v>
      </c>
      <c r="K31" s="1176">
        <v>5143053.8500000006</v>
      </c>
      <c r="L31" s="1176">
        <v>-1811109.74</v>
      </c>
      <c r="M31" s="1206">
        <v>0</v>
      </c>
    </row>
    <row r="32" spans="1:13">
      <c r="A32" s="668">
        <f t="shared" si="3"/>
        <v>18</v>
      </c>
      <c r="B32" s="683" t="s">
        <v>628</v>
      </c>
      <c r="C32" s="1176">
        <v>0</v>
      </c>
      <c r="D32" s="1176">
        <v>0</v>
      </c>
      <c r="E32" s="1176">
        <v>977539885.58000004</v>
      </c>
      <c r="F32" s="1176">
        <v>3119.85</v>
      </c>
      <c r="G32" s="1176">
        <v>2092148553.2100003</v>
      </c>
      <c r="H32" s="1176">
        <v>0</v>
      </c>
      <c r="I32" s="1176">
        <v>309899423.14999998</v>
      </c>
      <c r="J32" s="1176">
        <v>398426.16</v>
      </c>
      <c r="K32" s="1176">
        <v>5171678.1399999997</v>
      </c>
      <c r="L32" s="1176">
        <v>-1810748.2</v>
      </c>
      <c r="M32" s="1206">
        <v>0</v>
      </c>
    </row>
    <row r="33" spans="1:13">
      <c r="A33" s="668">
        <f t="shared" si="3"/>
        <v>19</v>
      </c>
      <c r="B33" s="683" t="s">
        <v>187</v>
      </c>
      <c r="C33" s="1176">
        <v>0</v>
      </c>
      <c r="D33" s="1176">
        <v>0</v>
      </c>
      <c r="E33" s="1176">
        <v>980161257.62999988</v>
      </c>
      <c r="F33" s="1176">
        <v>3119.85</v>
      </c>
      <c r="G33" s="1176">
        <v>2099987117.4500003</v>
      </c>
      <c r="H33" s="1176">
        <v>0</v>
      </c>
      <c r="I33" s="1176">
        <v>315779249.9799999</v>
      </c>
      <c r="J33" s="1176">
        <v>400474.58999999997</v>
      </c>
      <c r="K33" s="1176">
        <v>5200302.3999999994</v>
      </c>
      <c r="L33" s="1176">
        <v>-1810386.66</v>
      </c>
      <c r="M33" s="1206">
        <v>0</v>
      </c>
    </row>
    <row r="34" spans="1:13">
      <c r="A34" s="668">
        <f t="shared" si="3"/>
        <v>20</v>
      </c>
      <c r="B34" s="683" t="s">
        <v>188</v>
      </c>
      <c r="C34" s="1176">
        <v>0</v>
      </c>
      <c r="D34" s="1176">
        <v>0</v>
      </c>
      <c r="E34" s="1176">
        <v>977120009.30000019</v>
      </c>
      <c r="F34" s="1176">
        <v>3119.85</v>
      </c>
      <c r="G34" s="1176">
        <v>2106711799.99</v>
      </c>
      <c r="H34" s="1176">
        <v>0</v>
      </c>
      <c r="I34" s="1176">
        <v>322144362.16999996</v>
      </c>
      <c r="J34" s="1176">
        <v>402522.88</v>
      </c>
      <c r="K34" s="1176">
        <v>5228926.6900000004</v>
      </c>
      <c r="L34" s="1176">
        <v>-1547097.3</v>
      </c>
      <c r="M34" s="1206">
        <v>0</v>
      </c>
    </row>
    <row r="35" spans="1:13">
      <c r="A35" s="668">
        <f t="shared" si="3"/>
        <v>21</v>
      </c>
      <c r="B35" s="683" t="s">
        <v>382</v>
      </c>
      <c r="C35" s="1176">
        <v>0</v>
      </c>
      <c r="D35" s="1176">
        <v>0</v>
      </c>
      <c r="E35" s="1176">
        <v>978015615.36000001</v>
      </c>
      <c r="F35" s="1176">
        <v>3119.85</v>
      </c>
      <c r="G35" s="1176">
        <v>2114739044.7499998</v>
      </c>
      <c r="H35" s="1176">
        <v>0</v>
      </c>
      <c r="I35" s="1176">
        <v>317643273.0800001</v>
      </c>
      <c r="J35" s="1176">
        <v>404571.26999999996</v>
      </c>
      <c r="K35" s="1176">
        <v>5257550.95</v>
      </c>
      <c r="L35" s="1176">
        <v>-1546735.76</v>
      </c>
      <c r="M35" s="1206">
        <v>0</v>
      </c>
    </row>
    <row r="36" spans="1:13">
      <c r="A36" s="668">
        <f t="shared" si="3"/>
        <v>22</v>
      </c>
      <c r="B36" s="683" t="s">
        <v>189</v>
      </c>
      <c r="C36" s="1176">
        <v>0</v>
      </c>
      <c r="D36" s="1176">
        <v>0</v>
      </c>
      <c r="E36" s="1176">
        <v>981575629.58999991</v>
      </c>
      <c r="F36" s="1176">
        <v>3119.85</v>
      </c>
      <c r="G36" s="1176">
        <v>2124124067.1499999</v>
      </c>
      <c r="H36" s="1176">
        <v>0</v>
      </c>
      <c r="I36" s="1176">
        <v>323063497.03000003</v>
      </c>
      <c r="J36" s="1176">
        <v>406619.58999999997</v>
      </c>
      <c r="K36" s="1176">
        <v>5283431.88</v>
      </c>
      <c r="L36" s="1176">
        <v>-1546374.22</v>
      </c>
      <c r="M36" s="1206">
        <v>0</v>
      </c>
    </row>
    <row r="37" spans="1:13">
      <c r="A37" s="668">
        <f t="shared" si="3"/>
        <v>23</v>
      </c>
      <c r="B37" s="683" t="s">
        <v>627</v>
      </c>
      <c r="C37" s="1176">
        <v>0</v>
      </c>
      <c r="D37" s="1176">
        <v>0</v>
      </c>
      <c r="E37" s="1176">
        <v>983108718.90999985</v>
      </c>
      <c r="F37" s="1176">
        <v>3119.85</v>
      </c>
      <c r="G37" s="1176">
        <v>2133432396.6600001</v>
      </c>
      <c r="H37" s="1176">
        <v>0</v>
      </c>
      <c r="I37" s="1176">
        <v>328306339.25</v>
      </c>
      <c r="J37" s="1176">
        <v>408369.72</v>
      </c>
      <c r="K37" s="1176">
        <v>5309312.8</v>
      </c>
      <c r="L37" s="1176">
        <v>-1546012.6800000002</v>
      </c>
      <c r="M37" s="1206">
        <v>0</v>
      </c>
    </row>
    <row r="38" spans="1:13">
      <c r="A38" s="668">
        <f t="shared" si="3"/>
        <v>24</v>
      </c>
      <c r="B38" s="683" t="s">
        <v>192</v>
      </c>
      <c r="C38" s="1176">
        <v>0</v>
      </c>
      <c r="D38" s="1176">
        <v>0</v>
      </c>
      <c r="E38" s="1176">
        <v>985715389.4000001</v>
      </c>
      <c r="F38" s="1176">
        <v>3119.85</v>
      </c>
      <c r="G38" s="1176">
        <v>2134435593.6800003</v>
      </c>
      <c r="H38" s="1176">
        <v>0</v>
      </c>
      <c r="I38" s="1176">
        <v>319501248.60999995</v>
      </c>
      <c r="J38" s="1176">
        <v>401147.3</v>
      </c>
      <c r="K38" s="1176">
        <v>5335193.7299999995</v>
      </c>
      <c r="L38" s="1176">
        <v>-1545651.1400000001</v>
      </c>
      <c r="M38" s="1206">
        <v>0</v>
      </c>
    </row>
    <row r="39" spans="1:13">
      <c r="A39" s="668">
        <f t="shared" si="3"/>
        <v>25</v>
      </c>
      <c r="B39" s="683" t="s">
        <v>560</v>
      </c>
      <c r="C39" s="1176">
        <v>0</v>
      </c>
      <c r="D39" s="1176">
        <v>0</v>
      </c>
      <c r="E39" s="1176">
        <v>984620158.17000008</v>
      </c>
      <c r="F39" s="1176">
        <v>3119.85</v>
      </c>
      <c r="G39" s="1176">
        <v>2139771573.6500001</v>
      </c>
      <c r="H39" s="1176">
        <v>0</v>
      </c>
      <c r="I39" s="1176">
        <v>323989333.21999997</v>
      </c>
      <c r="J39" s="1176">
        <v>402897.45999999996</v>
      </c>
      <c r="K39" s="1176">
        <v>5361074.6499999994</v>
      </c>
      <c r="L39" s="1176">
        <v>-1545289.6</v>
      </c>
      <c r="M39" s="1206">
        <v>0</v>
      </c>
    </row>
    <row r="40" spans="1:13">
      <c r="A40" s="668">
        <f t="shared" si="3"/>
        <v>26</v>
      </c>
      <c r="B40" s="683" t="s">
        <v>561</v>
      </c>
      <c r="C40" s="1176">
        <v>0</v>
      </c>
      <c r="D40" s="1176">
        <v>0</v>
      </c>
      <c r="E40" s="1176">
        <v>984379402.28999996</v>
      </c>
      <c r="F40" s="1176">
        <v>3119.85</v>
      </c>
      <c r="G40" s="1176">
        <v>2149129976.3800006</v>
      </c>
      <c r="H40" s="1176">
        <v>0</v>
      </c>
      <c r="I40" s="1176">
        <v>328756704.41999996</v>
      </c>
      <c r="J40" s="1176">
        <v>404647.58999999997</v>
      </c>
      <c r="K40" s="1176">
        <v>5379246.3299999991</v>
      </c>
      <c r="L40" s="1176">
        <v>-1544928.06</v>
      </c>
      <c r="M40" s="1206">
        <v>0</v>
      </c>
    </row>
    <row r="41" spans="1:13">
      <c r="A41" s="667">
        <f t="shared" si="3"/>
        <v>27</v>
      </c>
      <c r="B41" s="682" t="s">
        <v>626</v>
      </c>
      <c r="C41" s="1176">
        <v>0</v>
      </c>
      <c r="D41" s="1176">
        <v>0</v>
      </c>
      <c r="E41" s="1176">
        <v>978471254.45999992</v>
      </c>
      <c r="F41" s="1176">
        <v>3119.85</v>
      </c>
      <c r="G41" s="1176">
        <v>2153853405.6400003</v>
      </c>
      <c r="H41" s="1176">
        <v>0</v>
      </c>
      <c r="I41" s="1176">
        <v>316461426.49999988</v>
      </c>
      <c r="J41" s="1176">
        <v>406397.75</v>
      </c>
      <c r="K41" s="1176">
        <v>5428980.5399999982</v>
      </c>
      <c r="L41" s="1176">
        <v>-1544566.52</v>
      </c>
      <c r="M41" s="1206">
        <v>0</v>
      </c>
    </row>
    <row r="42" spans="1:13" ht="13.5" thickBot="1">
      <c r="A42" s="681">
        <f t="shared" si="3"/>
        <v>28</v>
      </c>
      <c r="B42" s="866" t="s">
        <v>852</v>
      </c>
      <c r="C42" s="1173">
        <f>SUM(C29:C41)/13</f>
        <v>0</v>
      </c>
      <c r="D42" s="1173">
        <f t="shared" ref="D42:M42" si="4">SUM(D29:D41)/13</f>
        <v>0</v>
      </c>
      <c r="E42" s="1173">
        <f t="shared" si="4"/>
        <v>979303201.37153828</v>
      </c>
      <c r="F42" s="1173">
        <f t="shared" si="4"/>
        <v>3119.849999999999</v>
      </c>
      <c r="G42" s="1173">
        <f t="shared" si="4"/>
        <v>2112919178.7161543</v>
      </c>
      <c r="H42" s="1173">
        <f t="shared" si="4"/>
        <v>0</v>
      </c>
      <c r="I42" s="1173">
        <f t="shared" si="4"/>
        <v>308032050.38461536</v>
      </c>
      <c r="J42" s="1173">
        <f t="shared" si="4"/>
        <v>401466.36615384609</v>
      </c>
      <c r="K42" s="1173">
        <f t="shared" si="4"/>
        <v>16561898.723846154</v>
      </c>
      <c r="L42" s="1173">
        <f t="shared" si="4"/>
        <v>-1371414.8823076924</v>
      </c>
      <c r="M42" s="1174">
        <f t="shared" si="4"/>
        <v>0</v>
      </c>
    </row>
    <row r="43" spans="1:13" ht="13.5" thickTop="1">
      <c r="A43" s="79"/>
      <c r="B43" s="663"/>
      <c r="C43" s="679"/>
      <c r="D43" s="662"/>
      <c r="E43" s="662"/>
      <c r="F43" s="662"/>
      <c r="G43" s="679"/>
      <c r="H43"/>
      <c r="I43"/>
      <c r="J43"/>
      <c r="K43"/>
    </row>
    <row r="44" spans="1:13">
      <c r="A44" s="79"/>
      <c r="B44" s="663"/>
      <c r="C44" s="679"/>
      <c r="D44" s="662"/>
      <c r="E44" s="662"/>
      <c r="F44" s="662"/>
      <c r="G44" s="679"/>
      <c r="H44" s="679"/>
      <c r="I44" s="679"/>
    </row>
    <row r="45" spans="1:13">
      <c r="A45" s="678"/>
      <c r="B45" s="677"/>
      <c r="C45" s="1182"/>
      <c r="D45" s="1178"/>
      <c r="E45" s="1178"/>
      <c r="F45" s="1178"/>
      <c r="G45" s="1178"/>
      <c r="H45" s="1179"/>
      <c r="I45"/>
      <c r="J45"/>
      <c r="K45"/>
    </row>
    <row r="46" spans="1:13" ht="72" customHeight="1">
      <c r="A46" s="676" t="s">
        <v>642</v>
      </c>
      <c r="B46" s="670" t="s">
        <v>641</v>
      </c>
      <c r="C46" s="675" t="s">
        <v>640</v>
      </c>
      <c r="D46" s="674" t="s">
        <v>639</v>
      </c>
      <c r="E46" s="674" t="s">
        <v>638</v>
      </c>
      <c r="F46" s="674" t="s">
        <v>637</v>
      </c>
      <c r="G46" s="674" t="s">
        <v>1323</v>
      </c>
      <c r="H46" s="673" t="s">
        <v>1324</v>
      </c>
      <c r="I46"/>
      <c r="J46"/>
      <c r="K46"/>
    </row>
    <row r="47" spans="1:13" s="669" customFormat="1">
      <c r="A47" s="668"/>
      <c r="B47" s="670" t="s">
        <v>636</v>
      </c>
      <c r="C47" s="672" t="s">
        <v>635</v>
      </c>
      <c r="D47" s="670" t="s">
        <v>634</v>
      </c>
      <c r="E47" s="670" t="s">
        <v>633</v>
      </c>
      <c r="F47" s="670" t="s">
        <v>632</v>
      </c>
      <c r="G47" s="670" t="s">
        <v>654</v>
      </c>
      <c r="H47" s="671" t="s">
        <v>655</v>
      </c>
      <c r="I47"/>
      <c r="J47"/>
      <c r="K47"/>
      <c r="L47" s="4"/>
    </row>
    <row r="48" spans="1:13" s="669" customFormat="1" ht="63.75">
      <c r="A48" s="668"/>
      <c r="B48" s="671" t="s">
        <v>631</v>
      </c>
      <c r="C48" s="1183" t="s">
        <v>663</v>
      </c>
      <c r="D48" s="1180" t="s">
        <v>664</v>
      </c>
      <c r="E48" s="1180" t="s">
        <v>630</v>
      </c>
      <c r="F48" s="1180" t="s">
        <v>630</v>
      </c>
      <c r="G48" s="1180" t="s">
        <v>630</v>
      </c>
      <c r="H48" s="1181" t="s">
        <v>630</v>
      </c>
      <c r="I48"/>
      <c r="J48"/>
      <c r="K48"/>
      <c r="L48" s="4"/>
    </row>
    <row r="49" spans="1:11">
      <c r="A49" s="668">
        <f>+A42+1</f>
        <v>29</v>
      </c>
      <c r="B49" s="684" t="s">
        <v>629</v>
      </c>
      <c r="C49" s="1176">
        <v>0</v>
      </c>
      <c r="D49" s="1176">
        <v>0</v>
      </c>
      <c r="E49" s="1176">
        <v>20371.721999999972</v>
      </c>
      <c r="F49" s="1177"/>
      <c r="G49" s="1176">
        <v>0</v>
      </c>
      <c r="H49" s="1205">
        <v>0</v>
      </c>
      <c r="I49"/>
      <c r="J49"/>
      <c r="K49"/>
    </row>
    <row r="50" spans="1:11">
      <c r="A50" s="668">
        <f>+A49+1</f>
        <v>30</v>
      </c>
      <c r="B50" s="684" t="s">
        <v>185</v>
      </c>
      <c r="C50" s="1176">
        <v>0</v>
      </c>
      <c r="D50" s="1176">
        <v>0</v>
      </c>
      <c r="E50" s="1176">
        <v>201192.93499999988</v>
      </c>
      <c r="F50" s="1176"/>
      <c r="G50" s="1176">
        <v>45255.49</v>
      </c>
      <c r="H50" s="1206">
        <v>-29493.59</v>
      </c>
      <c r="I50"/>
      <c r="J50"/>
      <c r="K50"/>
    </row>
    <row r="51" spans="1:11">
      <c r="A51" s="668">
        <f t="shared" ref="A51:A62" si="5">+A50+1</f>
        <v>31</v>
      </c>
      <c r="B51" s="683" t="s">
        <v>559</v>
      </c>
      <c r="C51" s="1176">
        <v>0</v>
      </c>
      <c r="D51" s="1176">
        <v>0</v>
      </c>
      <c r="E51" s="1176">
        <v>-1573994.0880000002</v>
      </c>
      <c r="F51" s="1176"/>
      <c r="G51" s="1176">
        <v>45255.49</v>
      </c>
      <c r="H51" s="1206">
        <v>-1811109.74</v>
      </c>
      <c r="I51"/>
      <c r="J51"/>
      <c r="K51"/>
    </row>
    <row r="52" spans="1:11">
      <c r="A52" s="668">
        <f t="shared" si="5"/>
        <v>32</v>
      </c>
      <c r="B52" s="683" t="s">
        <v>628</v>
      </c>
      <c r="C52" s="1176">
        <v>0</v>
      </c>
      <c r="D52" s="1176">
        <v>0</v>
      </c>
      <c r="E52" s="1176">
        <v>141913.09399999923</v>
      </c>
      <c r="F52" s="1176"/>
      <c r="G52" s="1176">
        <v>45255.49</v>
      </c>
      <c r="H52" s="1206">
        <v>-1810748.2</v>
      </c>
      <c r="I52"/>
      <c r="J52"/>
      <c r="K52"/>
    </row>
    <row r="53" spans="1:11">
      <c r="A53" s="668">
        <f t="shared" si="5"/>
        <v>33</v>
      </c>
      <c r="B53" s="683" t="s">
        <v>187</v>
      </c>
      <c r="C53" s="1176">
        <v>0</v>
      </c>
      <c r="D53" s="1176">
        <v>0</v>
      </c>
      <c r="E53" s="1176">
        <v>174260.12499999985</v>
      </c>
      <c r="F53" s="1176"/>
      <c r="G53" s="1176">
        <v>45255.49</v>
      </c>
      <c r="H53" s="1206">
        <v>-1810386.66</v>
      </c>
      <c r="I53"/>
      <c r="J53"/>
      <c r="K53"/>
    </row>
    <row r="54" spans="1:11">
      <c r="A54" s="668">
        <f t="shared" si="5"/>
        <v>34</v>
      </c>
      <c r="B54" s="683" t="s">
        <v>188</v>
      </c>
      <c r="C54" s="1176">
        <v>0</v>
      </c>
      <c r="D54" s="1176">
        <v>0</v>
      </c>
      <c r="E54" s="1176">
        <v>-54625.213999999585</v>
      </c>
      <c r="F54" s="1176"/>
      <c r="G54" s="1176">
        <v>45255.49</v>
      </c>
      <c r="H54" s="1206">
        <v>-1547097.3</v>
      </c>
      <c r="I54"/>
      <c r="J54"/>
      <c r="K54"/>
    </row>
    <row r="55" spans="1:11">
      <c r="A55" s="668">
        <f t="shared" si="5"/>
        <v>35</v>
      </c>
      <c r="B55" s="683" t="s">
        <v>382</v>
      </c>
      <c r="C55" s="1176">
        <v>0</v>
      </c>
      <c r="D55" s="1176">
        <v>0</v>
      </c>
      <c r="E55" s="1176">
        <v>-13249.561000000009</v>
      </c>
      <c r="F55" s="1176"/>
      <c r="G55" s="1176">
        <v>45255.49</v>
      </c>
      <c r="H55" s="1206">
        <v>-1546735.76</v>
      </c>
      <c r="I55"/>
      <c r="J55"/>
      <c r="K55"/>
    </row>
    <row r="56" spans="1:11">
      <c r="A56" s="668">
        <f t="shared" si="5"/>
        <v>36</v>
      </c>
      <c r="B56" s="683" t="s">
        <v>189</v>
      </c>
      <c r="C56" s="1176">
        <v>0</v>
      </c>
      <c r="D56" s="1176">
        <v>0</v>
      </c>
      <c r="E56" s="1176">
        <v>-1791603.2548</v>
      </c>
      <c r="F56" s="1176"/>
      <c r="G56" s="1176">
        <v>45255.49</v>
      </c>
      <c r="H56" s="1206">
        <v>-1546374.22</v>
      </c>
      <c r="I56"/>
      <c r="J56"/>
      <c r="K56"/>
    </row>
    <row r="57" spans="1:11">
      <c r="A57" s="668">
        <f t="shared" si="5"/>
        <v>37</v>
      </c>
      <c r="B57" s="683" t="s">
        <v>627</v>
      </c>
      <c r="C57" s="1176">
        <v>0</v>
      </c>
      <c r="D57" s="1176">
        <v>0</v>
      </c>
      <c r="E57" s="1176">
        <v>32727.149499999592</v>
      </c>
      <c r="F57" s="1176"/>
      <c r="G57" s="1176">
        <v>45255.49</v>
      </c>
      <c r="H57" s="1206">
        <v>-1546012.6800000002</v>
      </c>
      <c r="I57"/>
      <c r="J57"/>
      <c r="K57"/>
    </row>
    <row r="58" spans="1:11">
      <c r="A58" s="668">
        <f t="shared" si="5"/>
        <v>38</v>
      </c>
      <c r="B58" s="683" t="s">
        <v>192</v>
      </c>
      <c r="C58" s="1176">
        <v>0</v>
      </c>
      <c r="D58" s="1176">
        <v>0</v>
      </c>
      <c r="E58" s="1176">
        <v>-114500.236700001</v>
      </c>
      <c r="F58" s="1176"/>
      <c r="G58" s="1176">
        <v>45255.49</v>
      </c>
      <c r="H58" s="1206">
        <v>-1545651.1400000001</v>
      </c>
      <c r="I58"/>
      <c r="J58"/>
      <c r="K58"/>
    </row>
    <row r="59" spans="1:11">
      <c r="A59" s="668">
        <f t="shared" si="5"/>
        <v>39</v>
      </c>
      <c r="B59" s="683" t="s">
        <v>560</v>
      </c>
      <c r="C59" s="1176">
        <v>0</v>
      </c>
      <c r="D59" s="1176">
        <v>0</v>
      </c>
      <c r="E59" s="1176">
        <v>32764.010000000068</v>
      </c>
      <c r="F59" s="1176"/>
      <c r="G59" s="1176">
        <v>45255.49</v>
      </c>
      <c r="H59" s="1206">
        <v>-1545289.6</v>
      </c>
      <c r="I59"/>
      <c r="J59"/>
      <c r="K59"/>
    </row>
    <row r="60" spans="1:11">
      <c r="A60" s="668">
        <f t="shared" si="5"/>
        <v>40</v>
      </c>
      <c r="B60" s="683" t="s">
        <v>561</v>
      </c>
      <c r="C60" s="1176">
        <v>0</v>
      </c>
      <c r="D60" s="1176">
        <v>0</v>
      </c>
      <c r="E60" s="1176">
        <v>281105.87459999963</v>
      </c>
      <c r="F60" s="1176"/>
      <c r="G60" s="1176">
        <v>45255.49</v>
      </c>
      <c r="H60" s="1206">
        <v>-1544928.06</v>
      </c>
      <c r="I60"/>
      <c r="J60"/>
      <c r="K60"/>
    </row>
    <row r="61" spans="1:11">
      <c r="A61" s="667">
        <f t="shared" si="5"/>
        <v>41</v>
      </c>
      <c r="B61" s="682" t="s">
        <v>626</v>
      </c>
      <c r="C61" s="1176">
        <v>0</v>
      </c>
      <c r="D61" s="1176">
        <v>0</v>
      </c>
      <c r="E61" s="1176">
        <v>329.50459999986924</v>
      </c>
      <c r="F61" s="1176"/>
      <c r="G61" s="1176">
        <v>45255.49</v>
      </c>
      <c r="H61" s="1206">
        <v>-1544566.52</v>
      </c>
      <c r="I61"/>
      <c r="J61"/>
      <c r="K61"/>
    </row>
    <row r="62" spans="1:11" ht="13.5" thickBot="1">
      <c r="A62" s="666">
        <f t="shared" si="5"/>
        <v>42</v>
      </c>
      <c r="B62" s="866" t="s">
        <v>852</v>
      </c>
      <c r="C62" s="1173">
        <f>SUM(C49:C61)/13</f>
        <v>0</v>
      </c>
      <c r="D62" s="1173">
        <f>SUM(D49:D61)/13</f>
        <v>0</v>
      </c>
      <c r="E62" s="1173">
        <f>SUM(E49:E61)/13</f>
        <v>-204869.84152307714</v>
      </c>
      <c r="F62" s="1173">
        <f>SUM(F49:F61)/13</f>
        <v>0</v>
      </c>
      <c r="G62" s="1173">
        <f t="shared" ref="G62:H62" si="6">SUM(G49:G61)/13</f>
        <v>41774.298461538463</v>
      </c>
      <c r="H62" s="1174">
        <f t="shared" si="6"/>
        <v>-1371414.8823076924</v>
      </c>
      <c r="I62"/>
      <c r="J62"/>
      <c r="K62"/>
    </row>
    <row r="63" spans="1:11" ht="13.5" thickTop="1">
      <c r="A63" s="79"/>
      <c r="B63" s="663"/>
      <c r="G63"/>
      <c r="H63"/>
      <c r="I63"/>
      <c r="J63"/>
      <c r="K63"/>
    </row>
    <row r="64" spans="1:11">
      <c r="A64" s="79">
        <v>43</v>
      </c>
      <c r="B64" s="663" t="s">
        <v>625</v>
      </c>
      <c r="D64" s="469">
        <f>+E42-D62</f>
        <v>979303201.37153828</v>
      </c>
      <c r="I64" s="662"/>
    </row>
    <row r="65" spans="1:7" customFormat="1"/>
    <row r="66" spans="1:7" customFormat="1">
      <c r="A66" s="661"/>
      <c r="B66" s="224"/>
      <c r="C66" s="225"/>
      <c r="D66" s="226"/>
      <c r="E66" s="56"/>
      <c r="F66" s="56"/>
      <c r="G66" s="66"/>
    </row>
    <row r="67" spans="1:7" customFormat="1" ht="25.5">
      <c r="A67" s="694" t="s">
        <v>3</v>
      </c>
      <c r="B67" s="224"/>
      <c r="C67" s="691" t="s">
        <v>2</v>
      </c>
      <c r="D67" s="692" t="str">
        <f>"Balance @ December 31, "&amp;TCOS!L4&amp;""</f>
        <v>Balance @ December 31, 2025</v>
      </c>
      <c r="E67" s="693" t="str">
        <f>"Balance @ December 31, "&amp;TCOS!L4-1&amp;""</f>
        <v>Balance @ December 31, 2024</v>
      </c>
      <c r="F67" s="693" t="str">
        <f>"Average Balance for "&amp;TCOS!L4&amp;""</f>
        <v>Average Balance for 2025</v>
      </c>
      <c r="G67" s="66"/>
    </row>
    <row r="68" spans="1:7" customFormat="1">
      <c r="A68" s="71"/>
      <c r="B68" s="670" t="s">
        <v>636</v>
      </c>
      <c r="C68" s="670" t="s">
        <v>635</v>
      </c>
      <c r="D68" s="670" t="s">
        <v>634</v>
      </c>
      <c r="E68" s="670" t="s">
        <v>633</v>
      </c>
      <c r="F68" s="670" t="s">
        <v>632</v>
      </c>
      <c r="G68" s="66"/>
    </row>
    <row r="69" spans="1:7" customFormat="1">
      <c r="A69" s="224">
        <f>+A64+1</f>
        <v>44</v>
      </c>
      <c r="B69" s="71" t="s">
        <v>3</v>
      </c>
      <c r="C69" s="227" t="s">
        <v>374</v>
      </c>
      <c r="D69" s="613">
        <v>4628420.33</v>
      </c>
      <c r="E69" s="613">
        <v>4929728.09</v>
      </c>
      <c r="F69" s="104">
        <f>IF(E69="",0,AVERAGE(D69:E69))</f>
        <v>4779074.21</v>
      </c>
    </row>
    <row r="70" spans="1:7" customFormat="1">
      <c r="A70" s="223"/>
      <c r="B70" s="228"/>
      <c r="C70" s="228"/>
      <c r="F70" s="66"/>
    </row>
    <row r="71" spans="1:7" customFormat="1">
      <c r="A71" s="222">
        <f>+A69+1</f>
        <v>45</v>
      </c>
      <c r="B71" s="71" t="s">
        <v>815</v>
      </c>
      <c r="C71" s="239" t="s">
        <v>67</v>
      </c>
      <c r="D71" s="613">
        <v>2313229</v>
      </c>
      <c r="E71" s="613">
        <v>2313229</v>
      </c>
      <c r="F71" s="104">
        <f>IF(E71="",0,AVERAGE(D71:E71))</f>
        <v>2313229</v>
      </c>
    </row>
    <row r="72" spans="1:7" customFormat="1">
      <c r="A72" s="69"/>
      <c r="B72" s="69"/>
      <c r="C72" s="69"/>
      <c r="D72" s="69"/>
    </row>
    <row r="73" spans="1:7" customFormat="1">
      <c r="A73" s="71" t="s">
        <v>236</v>
      </c>
      <c r="B73" s="69"/>
      <c r="C73" s="69"/>
      <c r="D73" s="69"/>
    </row>
    <row r="74" spans="1:7" customFormat="1">
      <c r="A74" s="226"/>
      <c r="B74" s="226" t="s">
        <v>360</v>
      </c>
      <c r="C74" s="226"/>
      <c r="D74" s="54"/>
      <c r="E74" s="54"/>
      <c r="F74" s="54"/>
    </row>
    <row r="75" spans="1:7" customFormat="1">
      <c r="A75" s="224">
        <f>+A71+1</f>
        <v>46</v>
      </c>
      <c r="B75" s="614"/>
      <c r="C75" s="614"/>
      <c r="D75" s="613"/>
      <c r="E75" s="613"/>
      <c r="F75" s="104">
        <f>IF(E75="",0,AVERAGE(D75:E75))</f>
        <v>0</v>
      </c>
    </row>
    <row r="76" spans="1:7" customFormat="1">
      <c r="A76" s="224">
        <f>+A75+1</f>
        <v>47</v>
      </c>
      <c r="B76" s="614"/>
      <c r="C76" s="614"/>
      <c r="D76" s="613"/>
      <c r="E76" s="613"/>
      <c r="F76" s="104">
        <f>IF(E76="",0,AVERAGE(D76:E76))</f>
        <v>0</v>
      </c>
    </row>
    <row r="77" spans="1:7" customFormat="1">
      <c r="A77" s="224">
        <f>+A76+1</f>
        <v>48</v>
      </c>
      <c r="B77" s="614"/>
      <c r="C77" s="614"/>
      <c r="D77" s="613"/>
      <c r="E77" s="613"/>
      <c r="F77" s="104">
        <f>IF(E77="",0,AVERAGE(D77:E77))</f>
        <v>0</v>
      </c>
    </row>
    <row r="78" spans="1:7" customFormat="1">
      <c r="A78" s="224">
        <f>+A77+1</f>
        <v>49</v>
      </c>
      <c r="B78" s="614"/>
      <c r="C78" s="614"/>
      <c r="D78" s="613"/>
      <c r="E78" s="613"/>
      <c r="F78" s="104">
        <f>IF(E78="",0,AVERAGE(D78:E78))</f>
        <v>0</v>
      </c>
    </row>
    <row r="79" spans="1:7" customFormat="1">
      <c r="A79" s="224">
        <f>+A78+1</f>
        <v>50</v>
      </c>
      <c r="B79" s="614"/>
      <c r="C79" s="614"/>
      <c r="D79" s="615"/>
      <c r="E79" s="615"/>
      <c r="F79" s="695">
        <f>IF(E79="",0,AVERAGE(D79:E79))</f>
        <v>0</v>
      </c>
    </row>
    <row r="80" spans="1:7" customFormat="1">
      <c r="A80" s="224">
        <f>+A79+1</f>
        <v>51</v>
      </c>
      <c r="B80" s="226" t="s">
        <v>497</v>
      </c>
      <c r="C80" s="226"/>
      <c r="D80" s="144">
        <f>SUM(D75:D79)</f>
        <v>0</v>
      </c>
      <c r="E80" s="144">
        <f>SUM(E75:E79)</f>
        <v>0</v>
      </c>
      <c r="F80" s="144">
        <f>SUM(F75:F79)</f>
        <v>0</v>
      </c>
    </row>
    <row r="81" spans="1:7" customFormat="1">
      <c r="A81" s="224"/>
      <c r="B81" s="226"/>
      <c r="C81" s="226"/>
      <c r="D81" s="144"/>
      <c r="E81" s="144"/>
      <c r="F81" s="144"/>
    </row>
    <row r="82" spans="1:7" customFormat="1" ht="18">
      <c r="A82" s="71" t="s">
        <v>748</v>
      </c>
      <c r="B82" s="658"/>
      <c r="C82" s="658"/>
      <c r="D82" s="658"/>
      <c r="E82" s="54"/>
      <c r="F82" s="54"/>
      <c r="G82" s="54"/>
    </row>
    <row r="83" spans="1:7" customFormat="1">
      <c r="A83" s="55"/>
      <c r="B83" s="191"/>
      <c r="C83" s="194"/>
      <c r="D83" s="5"/>
      <c r="E83" s="54"/>
      <c r="F83" s="54"/>
      <c r="G83" s="54"/>
    </row>
    <row r="84" spans="1:7" customFormat="1">
      <c r="A84" s="55">
        <f>+A80+1</f>
        <v>52</v>
      </c>
      <c r="B84" s="9" t="s">
        <v>167</v>
      </c>
      <c r="C84" s="9" t="s">
        <v>306</v>
      </c>
      <c r="D84" s="4"/>
      <c r="F84" s="9"/>
    </row>
    <row r="85" spans="1:7" customFormat="1" ht="14.25">
      <c r="A85" s="79" t="s">
        <v>741</v>
      </c>
      <c r="B85" s="908" t="s">
        <v>858</v>
      </c>
      <c r="C85" s="1018" t="s">
        <v>1176</v>
      </c>
      <c r="D85" s="613">
        <v>86552.769</v>
      </c>
      <c r="E85" s="613">
        <v>183360.799</v>
      </c>
      <c r="F85" s="696">
        <f>IF(E85="",0,AVERAGE(D85:E85))</f>
        <v>134956.78399999999</v>
      </c>
    </row>
    <row r="86" spans="1:7" customFormat="1" ht="14.25">
      <c r="A86" s="79" t="s">
        <v>742</v>
      </c>
      <c r="B86" s="908" t="s">
        <v>1097</v>
      </c>
      <c r="C86" s="1018" t="s">
        <v>1099</v>
      </c>
      <c r="D86" s="613">
        <v>29779.100000000002</v>
      </c>
      <c r="E86" s="613">
        <v>30890.27</v>
      </c>
      <c r="F86" s="696">
        <f>IF(E86="",0,AVERAGE(D86:E86))</f>
        <v>30334.685000000001</v>
      </c>
    </row>
    <row r="87" spans="1:7" customFormat="1" ht="14.25">
      <c r="A87" s="1104" t="s">
        <v>1096</v>
      </c>
      <c r="B87" s="908" t="s">
        <v>1098</v>
      </c>
      <c r="C87" s="813" t="s">
        <v>1100</v>
      </c>
      <c r="D87" s="615">
        <v>190765.87</v>
      </c>
      <c r="E87" s="615">
        <v>201325.48</v>
      </c>
      <c r="F87" s="697">
        <f>IF(E87="",0,AVERAGE(D87:E87))</f>
        <v>196045.67499999999</v>
      </c>
    </row>
    <row r="88" spans="1:7" customFormat="1" ht="18" customHeight="1">
      <c r="A88" s="1">
        <v>54</v>
      </c>
      <c r="C88" s="4" t="s">
        <v>118</v>
      </c>
      <c r="D88" s="469">
        <f>SUM(D85:D87)</f>
        <v>307097.739</v>
      </c>
      <c r="E88" s="469">
        <f>SUM(E85:E87)</f>
        <v>415576.549</v>
      </c>
      <c r="F88" s="469">
        <f>SUM(F85:F87)</f>
        <v>361337.14399999997</v>
      </c>
    </row>
    <row r="89" spans="1:7" customFormat="1">
      <c r="A89" s="224"/>
      <c r="B89" s="226"/>
      <c r="C89" s="226"/>
      <c r="D89" s="226"/>
    </row>
    <row r="90" spans="1:7">
      <c r="A90" s="56" t="s">
        <v>667</v>
      </c>
      <c r="B90" s="226"/>
      <c r="C90" s="226"/>
      <c r="D90" s="226"/>
    </row>
    <row r="91" spans="1:7">
      <c r="A91" s="56" t="s">
        <v>666</v>
      </c>
      <c r="B91" s="226"/>
      <c r="C91" s="226"/>
      <c r="D91" s="226"/>
    </row>
    <row r="92" spans="1:7">
      <c r="A92"/>
      <c r="B92"/>
      <c r="C92"/>
      <c r="D92"/>
    </row>
  </sheetData>
  <mergeCells count="6">
    <mergeCell ref="A1:G1"/>
    <mergeCell ref="A2:G2"/>
    <mergeCell ref="A3:G3"/>
    <mergeCell ref="A4:G4"/>
    <mergeCell ref="C25:M25"/>
    <mergeCell ref="C6:M6"/>
  </mergeCells>
  <pageMargins left="0.7" right="0.7" top="0.75" bottom="0.75" header="0.3" footer="0.3"/>
  <pageSetup scale="41" fitToHeight="0" orientation="landscape" cellComments="asDisplayed" r:id="rId1"/>
  <headerFooter>
    <oddHeader>&amp;RPage  &amp;P of &amp;N</oddHeader>
  </headerFooter>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U34"/>
  <sheetViews>
    <sheetView tabSelected="1" view="pageBreakPreview" zoomScale="80" zoomScaleNormal="100" zoomScaleSheetLayoutView="80" workbookViewId="0">
      <selection activeCell="D11" sqref="D11"/>
    </sheetView>
  </sheetViews>
  <sheetFormatPr defaultRowHeight="12.75"/>
  <cols>
    <col min="2" max="2" width="11.85546875" customWidth="1"/>
    <col min="3" max="3" width="1" customWidth="1"/>
    <col min="8" max="8" width="1.5703125" customWidth="1"/>
    <col min="9" max="9" width="9.85546875" customWidth="1"/>
    <col min="10" max="10" width="1.5703125" customWidth="1"/>
    <col min="11" max="11" width="12.5703125" customWidth="1"/>
    <col min="12" max="12" width="1.5703125" customWidth="1"/>
    <col min="13" max="13" width="13.5703125" customWidth="1"/>
    <col min="14" max="14" width="1.140625" customWidth="1"/>
    <col min="15" max="15" width="14.85546875" customWidth="1"/>
    <col min="16" max="16" width="2.5703125" customWidth="1"/>
    <col min="17" max="17" width="12.5703125" customWidth="1"/>
    <col min="18" max="18" width="1.85546875" customWidth="1"/>
    <col min="19" max="19" width="17.5703125" customWidth="1"/>
    <col min="20" max="20" width="1.85546875" customWidth="1"/>
    <col min="21" max="21" width="10.42578125" customWidth="1"/>
  </cols>
  <sheetData>
    <row r="1" spans="1:21" ht="15.75">
      <c r="A1" s="657" t="s">
        <v>114</v>
      </c>
    </row>
    <row r="2" spans="1:21" ht="15.75">
      <c r="A2" s="657" t="s">
        <v>114</v>
      </c>
    </row>
    <row r="3" spans="1:21" ht="18">
      <c r="A3" s="1271" t="s">
        <v>387</v>
      </c>
      <c r="B3" s="1271"/>
      <c r="C3" s="1271"/>
      <c r="D3" s="1271"/>
      <c r="E3" s="1271"/>
      <c r="F3" s="1271"/>
      <c r="G3" s="1271"/>
      <c r="H3" s="1271"/>
      <c r="I3" s="1271"/>
      <c r="J3" s="1271"/>
      <c r="K3" s="1271"/>
      <c r="L3" s="1271"/>
      <c r="M3" s="1271"/>
      <c r="N3" s="1271"/>
      <c r="O3" s="1271"/>
    </row>
    <row r="4" spans="1:21" ht="18">
      <c r="A4" s="1270" t="str">
        <f>"Cost of Service Formula Rate Using Actual/Projected FF1 Balances"</f>
        <v>Cost of Service Formula Rate Using Actual/Projected FF1 Balances</v>
      </c>
      <c r="B4" s="1270"/>
      <c r="C4" s="1270"/>
      <c r="D4" s="1270"/>
      <c r="E4" s="1270"/>
      <c r="F4" s="1270"/>
      <c r="G4" s="1270"/>
      <c r="H4" s="1270"/>
      <c r="I4" s="1270"/>
      <c r="J4" s="1270"/>
      <c r="K4" s="1270"/>
      <c r="L4" s="1270"/>
      <c r="M4" s="1270"/>
      <c r="N4" s="1270"/>
      <c r="O4" s="1270"/>
    </row>
    <row r="5" spans="1:21" ht="18">
      <c r="A5" s="1270" t="s">
        <v>239</v>
      </c>
      <c r="B5" s="1270"/>
      <c r="C5" s="1270"/>
      <c r="D5" s="1270"/>
      <c r="E5" s="1270"/>
      <c r="F5" s="1270"/>
      <c r="G5" s="1270"/>
      <c r="H5" s="1270"/>
      <c r="I5" s="1270"/>
      <c r="J5" s="1270"/>
      <c r="K5" s="1270"/>
      <c r="L5" s="1270"/>
      <c r="M5" s="1270"/>
      <c r="N5" s="1270"/>
      <c r="O5" s="1270"/>
    </row>
    <row r="6" spans="1:21" ht="18">
      <c r="A6" s="1264" t="str">
        <f>+TCOS!F9</f>
        <v>Ohio Power Company</v>
      </c>
      <c r="B6" s="1264"/>
      <c r="C6" s="1264"/>
      <c r="D6" s="1264"/>
      <c r="E6" s="1264"/>
      <c r="F6" s="1264"/>
      <c r="G6" s="1264"/>
      <c r="H6" s="1264"/>
      <c r="I6" s="1264"/>
      <c r="J6" s="1264"/>
      <c r="K6" s="1264"/>
      <c r="L6" s="1264"/>
      <c r="M6" s="1264"/>
      <c r="N6" s="1264"/>
      <c r="O6" s="1264"/>
    </row>
    <row r="7" spans="1:21" ht="12.75" customHeight="1">
      <c r="A7" s="126"/>
      <c r="B7" s="126"/>
      <c r="C7" s="126"/>
      <c r="D7" s="126"/>
      <c r="E7" s="126"/>
      <c r="F7" s="126"/>
      <c r="G7" s="126"/>
      <c r="H7" s="126"/>
      <c r="I7" s="126"/>
      <c r="J7" s="126"/>
      <c r="K7" s="126"/>
      <c r="L7" s="126"/>
    </row>
    <row r="8" spans="1:21" ht="12.75" customHeight="1">
      <c r="A8" s="1301" t="s">
        <v>390</v>
      </c>
      <c r="B8" s="1301"/>
      <c r="C8" s="1301"/>
      <c r="D8" s="1301"/>
      <c r="E8" s="1301"/>
      <c r="F8" s="1301"/>
      <c r="G8" s="1301"/>
      <c r="H8" s="1301"/>
      <c r="I8" s="1301"/>
      <c r="J8" s="1301"/>
      <c r="K8" s="1301"/>
      <c r="L8" s="1301"/>
      <c r="M8" s="1301"/>
      <c r="N8" s="1301"/>
      <c r="O8" s="1301"/>
    </row>
    <row r="9" spans="1:21" ht="12.75" customHeight="1">
      <c r="A9" s="1301"/>
      <c r="B9" s="1301"/>
      <c r="C9" s="1301"/>
      <c r="D9" s="1301"/>
      <c r="E9" s="1301"/>
      <c r="F9" s="1301"/>
      <c r="G9" s="1301"/>
      <c r="H9" s="1301"/>
      <c r="I9" s="1301"/>
      <c r="J9" s="1301"/>
      <c r="K9" s="1301"/>
      <c r="L9" s="1301"/>
      <c r="M9" s="1301"/>
      <c r="N9" s="1301"/>
      <c r="O9" s="1301"/>
    </row>
    <row r="10" spans="1:21">
      <c r="A10" s="1301"/>
      <c r="B10" s="1301"/>
      <c r="C10" s="1301"/>
      <c r="D10" s="1301"/>
      <c r="E10" s="1301"/>
      <c r="F10" s="1301"/>
      <c r="G10" s="1301"/>
      <c r="H10" s="1301"/>
      <c r="I10" s="1301"/>
      <c r="J10" s="1301"/>
      <c r="K10" s="1301"/>
      <c r="L10" s="1301"/>
      <c r="M10" s="1301"/>
      <c r="N10" s="1301"/>
      <c r="O10" s="1301"/>
    </row>
    <row r="11" spans="1:21">
      <c r="A11" s="1301"/>
      <c r="B11" s="1301"/>
      <c r="C11" s="1301"/>
      <c r="D11" s="1301"/>
      <c r="E11" s="1301"/>
      <c r="F11" s="1301"/>
      <c r="G11" s="1301"/>
      <c r="H11" s="1301"/>
      <c r="I11" s="1301"/>
      <c r="J11" s="1301"/>
      <c r="K11" s="1301"/>
      <c r="L11" s="1301"/>
      <c r="M11" s="1301"/>
      <c r="N11" s="1301"/>
      <c r="O11" s="1301"/>
    </row>
    <row r="12" spans="1:21">
      <c r="B12" s="1" t="s">
        <v>162</v>
      </c>
      <c r="C12" s="1"/>
      <c r="D12" s="1221" t="s">
        <v>163</v>
      </c>
      <c r="E12" s="1221"/>
      <c r="F12" s="1221"/>
      <c r="G12" s="1221"/>
      <c r="H12" s="1"/>
      <c r="I12" s="1" t="s">
        <v>4</v>
      </c>
      <c r="J12" s="1"/>
      <c r="K12" s="1" t="s">
        <v>165</v>
      </c>
      <c r="L12" s="1"/>
      <c r="M12" s="1" t="s">
        <v>84</v>
      </c>
      <c r="N12" s="1"/>
      <c r="O12" s="1" t="s">
        <v>85</v>
      </c>
      <c r="P12" s="1"/>
      <c r="Q12" s="1" t="s">
        <v>20</v>
      </c>
      <c r="R12" s="1"/>
      <c r="S12" s="1" t="s">
        <v>91</v>
      </c>
      <c r="T12" s="1"/>
      <c r="U12" s="79" t="s">
        <v>500</v>
      </c>
    </row>
    <row r="13" spans="1:21">
      <c r="I13" s="1300" t="s">
        <v>18</v>
      </c>
      <c r="Q13" s="1302" t="s">
        <v>19</v>
      </c>
      <c r="S13" s="1300" t="s">
        <v>21</v>
      </c>
      <c r="U13" s="230" t="s">
        <v>80</v>
      </c>
    </row>
    <row r="14" spans="1:21">
      <c r="A14" s="135" t="s">
        <v>17</v>
      </c>
      <c r="B14" s="135" t="s">
        <v>13</v>
      </c>
      <c r="C14" s="135"/>
      <c r="D14" s="170" t="s">
        <v>14</v>
      </c>
      <c r="E14" s="135"/>
      <c r="F14" s="135"/>
      <c r="G14" s="135"/>
      <c r="H14" s="135"/>
      <c r="I14" s="1273"/>
      <c r="J14" s="135"/>
      <c r="K14" s="135" t="s">
        <v>15</v>
      </c>
      <c r="L14" s="135"/>
      <c r="M14" s="135" t="s">
        <v>16</v>
      </c>
      <c r="N14" s="135"/>
      <c r="O14" s="135" t="s">
        <v>493</v>
      </c>
      <c r="Q14" s="1302"/>
      <c r="S14" s="1300"/>
      <c r="U14" s="230" t="s">
        <v>306</v>
      </c>
    </row>
    <row r="15" spans="1:21">
      <c r="A15" s="135"/>
      <c r="B15" s="135"/>
      <c r="C15" s="135"/>
      <c r="D15" s="170"/>
      <c r="E15" s="135"/>
      <c r="F15" s="135"/>
      <c r="G15" s="135"/>
      <c r="H15" s="135"/>
      <c r="I15" t="s">
        <v>491</v>
      </c>
      <c r="J15" s="135"/>
      <c r="K15" s="135"/>
      <c r="L15" s="135"/>
      <c r="M15" s="135"/>
      <c r="N15" s="135"/>
      <c r="O15" s="135"/>
      <c r="Q15" s="189"/>
      <c r="S15" s="135" t="s">
        <v>493</v>
      </c>
    </row>
    <row r="16" spans="1:21">
      <c r="I16" t="s">
        <v>492</v>
      </c>
    </row>
    <row r="17" spans="1:21">
      <c r="A17" s="1">
        <v>1</v>
      </c>
      <c r="B17" s="648"/>
      <c r="D17" s="1303"/>
      <c r="E17" s="1303"/>
      <c r="F17" s="1303"/>
      <c r="G17" s="1303"/>
      <c r="I17" s="649"/>
      <c r="K17" s="647"/>
      <c r="L17" s="105"/>
      <c r="M17" s="647"/>
      <c r="O17" s="143">
        <f>+K17-M17</f>
        <v>0</v>
      </c>
      <c r="Q17" s="177">
        <f>IF(I17="G",TCOS!L257,IF(I17="T",1,0))</f>
        <v>0</v>
      </c>
      <c r="S17" s="143">
        <f>ROUND(O17*Q17,0)</f>
        <v>0</v>
      </c>
      <c r="U17" s="650"/>
    </row>
    <row r="18" spans="1:21">
      <c r="A18" s="1"/>
      <c r="D18" s="1303"/>
      <c r="E18" s="1303"/>
      <c r="F18" s="1303"/>
      <c r="G18" s="1303"/>
      <c r="K18" s="105"/>
      <c r="L18" s="105"/>
      <c r="M18" s="105"/>
      <c r="O18" s="105"/>
      <c r="Q18" s="177"/>
      <c r="S18" s="105"/>
    </row>
    <row r="19" spans="1:21">
      <c r="A19" s="1"/>
      <c r="D19" s="1303"/>
      <c r="E19" s="1303"/>
      <c r="F19" s="1303"/>
      <c r="G19" s="1303"/>
      <c r="K19" s="105"/>
      <c r="L19" s="105"/>
      <c r="M19" s="105"/>
      <c r="O19" s="105"/>
      <c r="Q19" s="177"/>
      <c r="S19" s="105"/>
    </row>
    <row r="20" spans="1:21">
      <c r="A20" s="1"/>
      <c r="K20" s="105"/>
      <c r="L20" s="105"/>
      <c r="M20" s="105"/>
      <c r="O20" s="105"/>
      <c r="Q20" s="177"/>
      <c r="S20" s="105"/>
    </row>
    <row r="21" spans="1:21">
      <c r="A21" s="1"/>
      <c r="K21" s="105"/>
      <c r="L21" s="105"/>
      <c r="M21" s="105"/>
      <c r="O21" s="105"/>
      <c r="Q21" s="177"/>
      <c r="S21" s="105"/>
    </row>
    <row r="22" spans="1:21" ht="12" customHeight="1">
      <c r="A22" s="1">
        <f>+A17+1</f>
        <v>2</v>
      </c>
      <c r="B22" s="648"/>
      <c r="D22" s="1303"/>
      <c r="E22" s="1303"/>
      <c r="F22" s="1303"/>
      <c r="G22" s="1303"/>
      <c r="I22" s="649"/>
      <c r="K22" s="647"/>
      <c r="L22" s="105"/>
      <c r="M22" s="647"/>
      <c r="O22" s="143">
        <f>+K22-M22</f>
        <v>0</v>
      </c>
      <c r="Q22" s="177">
        <f>IF(I22="G",TCOS!L257,IF(I22="T",1,0))</f>
        <v>0</v>
      </c>
      <c r="S22" s="143">
        <f>ROUND(O22*Q22,0)</f>
        <v>0</v>
      </c>
      <c r="U22" s="650"/>
    </row>
    <row r="23" spans="1:21">
      <c r="A23" s="1"/>
      <c r="D23" s="1303"/>
      <c r="E23" s="1303"/>
      <c r="F23" s="1303"/>
      <c r="G23" s="1303"/>
      <c r="K23" s="105"/>
      <c r="L23" s="105"/>
      <c r="M23" s="105"/>
      <c r="O23" s="105"/>
      <c r="Q23" s="177"/>
      <c r="S23" s="105"/>
    </row>
    <row r="24" spans="1:21">
      <c r="A24" s="1"/>
      <c r="D24" s="1303"/>
      <c r="E24" s="1303"/>
      <c r="F24" s="1303"/>
      <c r="G24" s="1303"/>
      <c r="K24" s="105"/>
      <c r="L24" s="105"/>
      <c r="M24" s="105"/>
      <c r="O24" s="105"/>
      <c r="Q24" s="177"/>
      <c r="S24" s="105"/>
    </row>
    <row r="25" spans="1:21">
      <c r="A25" s="1"/>
      <c r="I25" s="1"/>
      <c r="K25" s="105"/>
      <c r="L25" s="105"/>
      <c r="M25" s="105"/>
      <c r="O25" s="105"/>
      <c r="Q25" s="177"/>
      <c r="S25" s="105"/>
    </row>
    <row r="26" spans="1:21">
      <c r="A26" s="1"/>
      <c r="I26" s="1"/>
      <c r="K26" s="105"/>
      <c r="L26" s="105"/>
      <c r="M26" s="105"/>
      <c r="O26" s="105"/>
      <c r="Q26" s="177"/>
      <c r="S26" s="105"/>
    </row>
    <row r="27" spans="1:21">
      <c r="A27" s="1">
        <f>+A22+1</f>
        <v>3</v>
      </c>
      <c r="B27" s="648"/>
      <c r="D27" s="1303"/>
      <c r="E27" s="1303"/>
      <c r="F27" s="1303"/>
      <c r="G27" s="1303"/>
      <c r="I27" s="649"/>
      <c r="K27" s="647"/>
      <c r="L27" s="105"/>
      <c r="M27" s="647"/>
      <c r="O27" s="143">
        <f>+K27-M27</f>
        <v>0</v>
      </c>
      <c r="Q27" s="177">
        <f>IF(I27="G",TCOS!L257,IF(I27="T",1,0))</f>
        <v>0</v>
      </c>
      <c r="S27" s="143">
        <f>ROUND(O27*Q27,0)</f>
        <v>0</v>
      </c>
      <c r="U27" s="650"/>
    </row>
    <row r="28" spans="1:21">
      <c r="A28" s="1"/>
      <c r="D28" s="1303"/>
      <c r="E28" s="1303"/>
      <c r="F28" s="1303"/>
      <c r="G28" s="1303"/>
      <c r="K28" s="105"/>
      <c r="L28" s="105"/>
      <c r="M28" s="105"/>
      <c r="O28" s="105"/>
      <c r="Q28" s="177"/>
      <c r="S28" s="105"/>
    </row>
    <row r="29" spans="1:21">
      <c r="A29" s="1"/>
      <c r="D29" s="1303"/>
      <c r="E29" s="1303"/>
      <c r="F29" s="1303"/>
      <c r="G29" s="1303"/>
      <c r="K29" s="105"/>
      <c r="L29" s="105"/>
      <c r="M29" s="105"/>
      <c r="O29" s="105"/>
      <c r="Q29" s="177"/>
    </row>
    <row r="30" spans="1:21">
      <c r="A30" s="1"/>
      <c r="O30" s="105"/>
      <c r="Q30" s="177"/>
    </row>
    <row r="31" spans="1:21">
      <c r="A31" s="1"/>
      <c r="O31" s="105"/>
      <c r="Q31" s="177"/>
    </row>
    <row r="32" spans="1:21">
      <c r="A32" s="1"/>
      <c r="O32" s="105"/>
      <c r="Q32" s="177"/>
    </row>
    <row r="33" spans="1:19" ht="13.5" thickBot="1">
      <c r="A33" s="1">
        <f>+A27+1</f>
        <v>4</v>
      </c>
      <c r="K33" t="str">
        <f>"Net (Gain) or Loss for "&amp;TCOS!L4&amp;""</f>
        <v>Net (Gain) or Loss for 2025</v>
      </c>
      <c r="O33" s="187">
        <f>SUM(O17:O27)</f>
        <v>0</v>
      </c>
      <c r="Q33" s="188"/>
      <c r="S33" s="187">
        <f>SUM(S17:S27)</f>
        <v>0</v>
      </c>
    </row>
    <row r="34" spans="1:19" ht="13.5" thickTop="1">
      <c r="A34" s="1"/>
      <c r="O34" s="105"/>
      <c r="Q34" s="188"/>
    </row>
  </sheetData>
  <mergeCells count="12">
    <mergeCell ref="Q13:Q14"/>
    <mergeCell ref="S13:S14"/>
    <mergeCell ref="D17:G19"/>
    <mergeCell ref="D22:G24"/>
    <mergeCell ref="D27:G29"/>
    <mergeCell ref="A3:O3"/>
    <mergeCell ref="A4:O4"/>
    <mergeCell ref="A5:O5"/>
    <mergeCell ref="I13:I14"/>
    <mergeCell ref="D12:G12"/>
    <mergeCell ref="A6:O6"/>
    <mergeCell ref="A8:O11"/>
  </mergeCells>
  <phoneticPr fontId="92" type="noConversion"/>
  <pageMargins left="0.75" right="0.75" top="1" bottom="1" header="0.75" footer="0.5"/>
  <pageSetup scale="76" orientation="landscape" r:id="rId1"/>
  <headerFooter alignWithMargins="0">
    <oddHeader>&amp;R&amp;"Arial,Bold"Formula Rate 
&amp;A
Page &amp;P of &amp;N</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Q175"/>
  <sheetViews>
    <sheetView tabSelected="1" view="pageBreakPreview" topLeftCell="A3" zoomScaleNormal="75" zoomScaleSheetLayoutView="100" workbookViewId="0">
      <selection activeCell="D11" sqref="D11"/>
    </sheetView>
  </sheetViews>
  <sheetFormatPr defaultColWidth="9.140625" defaultRowHeight="12.75"/>
  <cols>
    <col min="1" max="1" width="8.140625" style="868" customWidth="1"/>
    <col min="2" max="2" width="28.85546875" style="868" customWidth="1"/>
    <col min="3" max="3" width="17.85546875" style="868" customWidth="1"/>
    <col min="4" max="4" width="19.42578125" style="868" customWidth="1"/>
    <col min="5" max="6" width="19.85546875" style="868" customWidth="1"/>
    <col min="7" max="7" width="21.42578125" style="868" customWidth="1"/>
    <col min="8" max="9" width="19.85546875" style="868" customWidth="1"/>
    <col min="10" max="10" width="21.42578125" style="868" customWidth="1"/>
    <col min="11" max="11" width="18.140625" style="868" customWidth="1"/>
    <col min="12" max="12" width="22.42578125" style="868" customWidth="1"/>
    <col min="13" max="13" width="22.140625" style="868" customWidth="1"/>
    <col min="14" max="14" width="11.140625" style="868" customWidth="1"/>
    <col min="15" max="15" width="11.42578125" style="868" bestFit="1" customWidth="1"/>
    <col min="16" max="16" width="12.42578125" style="868" customWidth="1"/>
    <col min="17" max="17" width="9.140625" style="868"/>
    <col min="18" max="18" width="10.42578125" style="868" bestFit="1" customWidth="1"/>
    <col min="19" max="19" width="9.140625" style="868"/>
    <col min="20" max="20" width="12.85546875" style="868" customWidth="1"/>
    <col min="21" max="21" width="13.5703125" style="868" customWidth="1"/>
    <col min="22" max="16384" width="9.140625" style="868"/>
  </cols>
  <sheetData>
    <row r="1" spans="1:17" ht="15.75">
      <c r="A1" s="867" t="s">
        <v>114</v>
      </c>
    </row>
    <row r="2" spans="1:17" ht="15.75">
      <c r="A2" s="867" t="s">
        <v>114</v>
      </c>
    </row>
    <row r="3" spans="1:17" ht="15.75">
      <c r="A3" s="1304" t="s">
        <v>387</v>
      </c>
      <c r="B3" s="1304"/>
      <c r="C3" s="1304"/>
      <c r="D3" s="1304"/>
      <c r="E3" s="1304"/>
      <c r="F3" s="1304"/>
      <c r="G3" s="1304"/>
      <c r="H3" s="1304"/>
      <c r="I3" s="1304"/>
      <c r="J3" s="1304"/>
      <c r="K3" s="1304"/>
      <c r="L3" s="869"/>
      <c r="M3" s="869"/>
      <c r="N3" s="870"/>
      <c r="O3" s="870"/>
      <c r="P3" s="870"/>
      <c r="Q3" s="870"/>
    </row>
    <row r="4" spans="1:17" ht="15.75">
      <c r="A4" s="1305" t="str">
        <f>"Cost of Service Formula Rate Using Actual/Projected FF1 Balances"</f>
        <v>Cost of Service Formula Rate Using Actual/Projected FF1 Balances</v>
      </c>
      <c r="B4" s="1306"/>
      <c r="C4" s="1306"/>
      <c r="D4" s="1306"/>
      <c r="E4" s="1306"/>
      <c r="F4" s="1306"/>
      <c r="G4" s="1306"/>
      <c r="H4" s="1306"/>
      <c r="I4" s="1306"/>
      <c r="J4" s="1306"/>
      <c r="K4" s="1306"/>
      <c r="L4" s="871"/>
      <c r="M4" s="873"/>
      <c r="N4" s="874"/>
      <c r="O4" s="874"/>
      <c r="P4" s="874"/>
      <c r="Q4" s="874"/>
    </row>
    <row r="5" spans="1:17" ht="15.75">
      <c r="A5" s="1305" t="s">
        <v>843</v>
      </c>
      <c r="B5" s="1305"/>
      <c r="C5" s="1305"/>
      <c r="D5" s="1305"/>
      <c r="E5" s="1305"/>
      <c r="F5" s="1305"/>
      <c r="G5" s="1305"/>
      <c r="H5" s="1305"/>
      <c r="I5" s="1305"/>
      <c r="J5" s="1305"/>
      <c r="K5" s="1305"/>
      <c r="L5" s="871"/>
      <c r="M5" s="875"/>
      <c r="N5" s="875"/>
      <c r="O5" s="875"/>
      <c r="P5" s="875"/>
      <c r="Q5" s="875"/>
    </row>
    <row r="6" spans="1:17" ht="15.75">
      <c r="A6" s="1307" t="str">
        <f>TCOS!F9</f>
        <v>Ohio Power Company</v>
      </c>
      <c r="B6" s="1307"/>
      <c r="C6" s="1307"/>
      <c r="D6" s="1307"/>
      <c r="E6" s="1307"/>
      <c r="F6" s="1307"/>
      <c r="G6" s="1307"/>
      <c r="H6" s="1307"/>
      <c r="I6" s="1307"/>
      <c r="J6" s="1307"/>
      <c r="K6" s="1307"/>
      <c r="L6" s="876"/>
      <c r="M6" s="876"/>
      <c r="N6" s="877"/>
      <c r="O6" s="877"/>
      <c r="P6" s="877"/>
      <c r="Q6" s="877"/>
    </row>
    <row r="9" spans="1:17">
      <c r="B9" s="1308"/>
      <c r="C9" s="1308"/>
      <c r="D9" s="1308"/>
      <c r="E9" s="1308"/>
      <c r="F9" s="1308"/>
      <c r="G9" s="1308"/>
      <c r="H9" s="1308"/>
      <c r="I9" s="1308"/>
      <c r="J9" s="1308"/>
      <c r="K9" s="1308"/>
      <c r="L9" s="1308"/>
      <c r="M9" s="1308"/>
      <c r="N9" s="879"/>
      <c r="O9" s="879"/>
      <c r="P9" s="879"/>
      <c r="Q9" s="879"/>
    </row>
    <row r="10" spans="1:17">
      <c r="I10" s="879"/>
      <c r="J10" s="879"/>
      <c r="K10" s="879"/>
      <c r="L10" s="879"/>
      <c r="M10" s="879"/>
      <c r="N10" s="879"/>
      <c r="O10" s="879"/>
      <c r="P10" s="879"/>
      <c r="Q10" s="879"/>
    </row>
    <row r="11" spans="1:17">
      <c r="I11" s="879"/>
      <c r="J11" s="879"/>
      <c r="K11" s="879"/>
      <c r="L11" s="879"/>
      <c r="M11" s="879"/>
      <c r="N11" s="879"/>
      <c r="O11" s="879"/>
      <c r="P11" s="879"/>
      <c r="Q11" s="879"/>
    </row>
    <row r="12" spans="1:17">
      <c r="A12" s="872">
        <v>1</v>
      </c>
      <c r="B12" s="868" t="s">
        <v>817</v>
      </c>
      <c r="E12" s="1138">
        <v>-203719238.61753508</v>
      </c>
      <c r="J12" s="879"/>
      <c r="K12" s="879"/>
      <c r="L12" s="879"/>
      <c r="M12" s="879"/>
      <c r="N12" s="879"/>
      <c r="O12" s="879"/>
      <c r="P12" s="879"/>
      <c r="Q12" s="879"/>
    </row>
    <row r="13" spans="1:17">
      <c r="J13" s="879"/>
      <c r="K13" s="879"/>
      <c r="L13" s="879"/>
      <c r="M13" s="879"/>
      <c r="N13" s="879"/>
      <c r="O13" s="879"/>
      <c r="P13" s="879"/>
      <c r="Q13" s="879"/>
    </row>
    <row r="14" spans="1:17">
      <c r="B14" s="1309" t="str">
        <f>"Allocation of PBOP Settlement Amount for "&amp;TCOS!L4&amp;""</f>
        <v>Allocation of PBOP Settlement Amount for 2025</v>
      </c>
      <c r="C14" s="1309"/>
      <c r="D14" s="880"/>
      <c r="E14" s="880"/>
      <c r="F14" s="880"/>
      <c r="G14" s="880"/>
      <c r="H14" s="880"/>
      <c r="I14" s="880"/>
      <c r="J14" s="880"/>
      <c r="K14" s="880"/>
      <c r="L14" s="880"/>
      <c r="M14" s="880"/>
      <c r="N14" s="879"/>
      <c r="O14" s="879"/>
      <c r="P14" s="879"/>
      <c r="Q14" s="879"/>
    </row>
    <row r="15" spans="1:17">
      <c r="C15" s="1308" t="s">
        <v>818</v>
      </c>
      <c r="D15" s="1308"/>
      <c r="E15" s="1308"/>
      <c r="F15" s="878"/>
      <c r="N15" s="879"/>
      <c r="O15" s="879"/>
      <c r="P15" s="879"/>
      <c r="Q15" s="879"/>
    </row>
    <row r="16" spans="1:17">
      <c r="C16" s="1312" t="s">
        <v>819</v>
      </c>
      <c r="D16" s="1312" t="s">
        <v>820</v>
      </c>
      <c r="E16" s="1312" t="s">
        <v>821</v>
      </c>
      <c r="F16" s="897"/>
      <c r="G16" s="897"/>
      <c r="H16" s="897"/>
      <c r="I16" s="1312" t="s">
        <v>822</v>
      </c>
      <c r="N16" s="879"/>
      <c r="O16" s="879"/>
      <c r="P16" s="879"/>
      <c r="Q16" s="879"/>
    </row>
    <row r="17" spans="1:17" ht="12.75" customHeight="1">
      <c r="C17" s="1310"/>
      <c r="D17" s="1310"/>
      <c r="E17" s="1310"/>
      <c r="F17" s="1312" t="str">
        <f>"Labor Allocator for "&amp;TCOS!L4&amp;""</f>
        <v>Labor Allocator for 2025</v>
      </c>
      <c r="G17" s="899"/>
      <c r="H17" s="1313" t="s">
        <v>823</v>
      </c>
      <c r="I17" s="1312"/>
      <c r="N17" s="879"/>
      <c r="O17" s="879"/>
      <c r="P17" s="879"/>
      <c r="Q17" s="879"/>
    </row>
    <row r="18" spans="1:17">
      <c r="A18" s="881" t="s">
        <v>824</v>
      </c>
      <c r="B18" s="878" t="s">
        <v>183</v>
      </c>
      <c r="C18" s="1310"/>
      <c r="D18" s="1310"/>
      <c r="E18" s="1310"/>
      <c r="F18" s="1312"/>
      <c r="G18" s="901" t="s">
        <v>825</v>
      </c>
      <c r="H18" s="1313"/>
      <c r="I18" s="1312"/>
      <c r="N18" s="879"/>
      <c r="O18" s="879"/>
      <c r="P18" s="879"/>
      <c r="Q18" s="879"/>
    </row>
    <row r="19" spans="1:17">
      <c r="B19" s="878"/>
      <c r="C19" s="888"/>
      <c r="D19" s="888"/>
      <c r="E19" s="888"/>
      <c r="F19" s="897"/>
      <c r="G19" s="899"/>
      <c r="H19" s="899"/>
      <c r="I19" s="888"/>
      <c r="N19" s="879"/>
      <c r="O19" s="879"/>
      <c r="P19" s="879"/>
      <c r="Q19" s="879"/>
    </row>
    <row r="20" spans="1:17" ht="25.5">
      <c r="B20" s="878"/>
      <c r="C20" s="897" t="s">
        <v>162</v>
      </c>
      <c r="D20" s="897" t="s">
        <v>826</v>
      </c>
      <c r="E20" s="898" t="str">
        <f>"(C )=(B) * "&amp;E12&amp;""</f>
        <v>(C )=(B) * -203719238.617535</v>
      </c>
      <c r="F20" s="897" t="s">
        <v>165</v>
      </c>
      <c r="G20" s="902" t="s">
        <v>827</v>
      </c>
      <c r="H20" s="902" t="s">
        <v>828</v>
      </c>
      <c r="I20" s="898" t="s">
        <v>829</v>
      </c>
      <c r="N20" s="879"/>
      <c r="O20" s="879"/>
      <c r="P20" s="879"/>
      <c r="Q20" s="879"/>
    </row>
    <row r="21" spans="1:17">
      <c r="B21" s="878"/>
      <c r="C21" s="897" t="str">
        <f>"(Line "&amp;A47&amp;")"</f>
        <v>(Line 14)</v>
      </c>
      <c r="D21" s="897"/>
      <c r="E21" s="898"/>
      <c r="F21" s="897"/>
      <c r="G21" s="899"/>
      <c r="H21" s="900"/>
      <c r="I21" s="898"/>
      <c r="N21" s="879"/>
      <c r="O21" s="879"/>
      <c r="P21" s="879"/>
      <c r="Q21" s="879"/>
    </row>
    <row r="22" spans="1:17">
      <c r="A22" s="868">
        <v>2</v>
      </c>
      <c r="B22" s="868" t="s">
        <v>830</v>
      </c>
      <c r="C22" s="964">
        <f>D47</f>
        <v>-15301519.658836434</v>
      </c>
      <c r="D22" s="903">
        <f t="shared" ref="D22:D27" si="0">+C22/C$28</f>
        <v>0.36412705758197317</v>
      </c>
      <c r="E22" s="887">
        <f t="shared" ref="E22:E27" si="1">ROUND(D22*E$28,0)</f>
        <v>-74179687</v>
      </c>
      <c r="F22" s="1094">
        <v>0.11936202903264627</v>
      </c>
      <c r="G22" s="899">
        <f t="shared" ref="G22" si="2">+C22*F22</f>
        <v>-1826420.4337616421</v>
      </c>
      <c r="H22" s="899">
        <f t="shared" ref="H22" si="3">+F22*E22</f>
        <v>-8854237.9533266127</v>
      </c>
      <c r="I22" s="887">
        <f t="shared" ref="I22" si="4">+G22-H22</f>
        <v>7027817.5195649704</v>
      </c>
      <c r="N22" s="879"/>
      <c r="O22" s="879"/>
      <c r="P22" s="879"/>
      <c r="Q22" s="879"/>
    </row>
    <row r="23" spans="1:17">
      <c r="A23" s="868">
        <f t="shared" ref="A23:A28" si="5">+A22+1</f>
        <v>3</v>
      </c>
      <c r="B23" s="868" t="s">
        <v>831</v>
      </c>
      <c r="C23" s="964">
        <f>F47</f>
        <v>-10542358.114148542</v>
      </c>
      <c r="D23" s="903">
        <f t="shared" si="0"/>
        <v>0.25087428736945838</v>
      </c>
      <c r="E23" s="887">
        <f t="shared" si="1"/>
        <v>-51107919</v>
      </c>
      <c r="F23" s="1094">
        <v>4.9622134516203481E-2</v>
      </c>
      <c r="G23" s="899">
        <f t="shared" ref="G23:G27" si="6">+C23*F23</f>
        <v>-523134.31245826819</v>
      </c>
      <c r="H23" s="899">
        <f t="shared" ref="H23:H27" si="7">+F23*E23</f>
        <v>-2536084.0314612319</v>
      </c>
      <c r="I23" s="887">
        <f t="shared" ref="I23:I27" si="8">+G23-H23</f>
        <v>2012949.7190029637</v>
      </c>
      <c r="N23" s="879"/>
      <c r="O23" s="879"/>
      <c r="P23" s="879"/>
      <c r="Q23" s="879"/>
    </row>
    <row r="24" spans="1:17">
      <c r="A24" s="868">
        <f t="shared" si="5"/>
        <v>4</v>
      </c>
      <c r="B24" s="868" t="s">
        <v>832</v>
      </c>
      <c r="C24" s="964">
        <f>G47</f>
        <v>-3474539.3644135403</v>
      </c>
      <c r="D24" s="903">
        <f t="shared" si="0"/>
        <v>8.2682885322832619E-2</v>
      </c>
      <c r="E24" s="887">
        <f t="shared" si="1"/>
        <v>-16844094</v>
      </c>
      <c r="F24" s="1094">
        <v>0.11037346423821143</v>
      </c>
      <c r="G24" s="899">
        <f t="shared" si="6"/>
        <v>-383496.94628235576</v>
      </c>
      <c r="H24" s="899">
        <f t="shared" si="7"/>
        <v>-1859141.0067340718</v>
      </c>
      <c r="I24" s="887">
        <f t="shared" si="8"/>
        <v>1475644.060451716</v>
      </c>
      <c r="N24" s="879"/>
      <c r="O24" s="879"/>
      <c r="P24" s="879"/>
      <c r="Q24" s="879"/>
    </row>
    <row r="25" spans="1:17">
      <c r="A25" s="868">
        <f t="shared" si="5"/>
        <v>5</v>
      </c>
      <c r="B25" s="868" t="s">
        <v>833</v>
      </c>
      <c r="C25" s="964">
        <f>H47</f>
        <v>-393490.40255542228</v>
      </c>
      <c r="D25" s="903">
        <f t="shared" si="0"/>
        <v>9.3638086715465141E-3</v>
      </c>
      <c r="E25" s="887">
        <f t="shared" si="1"/>
        <v>-1907588</v>
      </c>
      <c r="F25" s="1094">
        <v>0.12397626165284048</v>
      </c>
      <c r="G25" s="899">
        <f t="shared" si="6"/>
        <v>-48783.469105092561</v>
      </c>
      <c r="H25" s="899">
        <f t="shared" si="7"/>
        <v>-236495.62901381866</v>
      </c>
      <c r="I25" s="887">
        <f t="shared" si="8"/>
        <v>187712.15990872611</v>
      </c>
      <c r="N25" s="879"/>
      <c r="O25" s="879"/>
      <c r="P25" s="879"/>
      <c r="Q25" s="879"/>
    </row>
    <row r="26" spans="1:17">
      <c r="A26" s="868">
        <f t="shared" si="5"/>
        <v>6</v>
      </c>
      <c r="B26" s="868" t="s">
        <v>834</v>
      </c>
      <c r="C26" s="964">
        <f>I47</f>
        <v>-11437962.325379781</v>
      </c>
      <c r="D26" s="903">
        <f t="shared" si="0"/>
        <v>0.27218679315089095</v>
      </c>
      <c r="E26" s="887">
        <f t="shared" si="1"/>
        <v>-55449686</v>
      </c>
      <c r="F26" s="1094">
        <v>0.15100284283719081</v>
      </c>
      <c r="G26" s="899">
        <f t="shared" si="6"/>
        <v>-1727164.8273970326</v>
      </c>
      <c r="H26" s="899">
        <f t="shared" si="7"/>
        <v>-8373060.2204295797</v>
      </c>
      <c r="I26" s="887">
        <f t="shared" si="8"/>
        <v>6645895.3930325471</v>
      </c>
      <c r="N26" s="879"/>
      <c r="O26" s="879"/>
      <c r="P26" s="879"/>
      <c r="Q26" s="879"/>
    </row>
    <row r="27" spans="1:17">
      <c r="A27" s="868">
        <f t="shared" si="5"/>
        <v>7</v>
      </c>
      <c r="B27" s="868" t="s">
        <v>835</v>
      </c>
      <c r="C27" s="969">
        <f>J47</f>
        <v>-872603.71970525081</v>
      </c>
      <c r="D27" s="903">
        <f t="shared" si="0"/>
        <v>2.0765167903298274E-2</v>
      </c>
      <c r="E27" s="904">
        <f t="shared" si="1"/>
        <v>-4230264</v>
      </c>
      <c r="F27" s="1095">
        <v>2.4194780770061278E-2</v>
      </c>
      <c r="G27" s="905">
        <f t="shared" si="6"/>
        <v>-21112.455697408543</v>
      </c>
      <c r="H27" s="905">
        <f t="shared" si="7"/>
        <v>-102350.3100794825</v>
      </c>
      <c r="I27" s="904">
        <f t="shared" si="8"/>
        <v>81237.854382073958</v>
      </c>
      <c r="N27" s="879"/>
      <c r="O27" s="879"/>
      <c r="P27" s="879"/>
      <c r="Q27" s="879"/>
    </row>
    <row r="28" spans="1:17">
      <c r="A28" s="868">
        <f t="shared" si="5"/>
        <v>8</v>
      </c>
      <c r="B28" s="878" t="str">
        <f>"Sum of Lines "&amp;A22&amp;" to "&amp;A27&amp;""</f>
        <v>Sum of Lines 2 to 7</v>
      </c>
      <c r="C28" s="887">
        <f>SUM(C22:C27)</f>
        <v>-42022473.585038975</v>
      </c>
      <c r="E28" s="899">
        <f>+E12</f>
        <v>-203719238.61753508</v>
      </c>
      <c r="F28" s="899"/>
      <c r="G28" s="899">
        <f>SUM(G22:G27)</f>
        <v>-4530112.4447017992</v>
      </c>
      <c r="H28" s="899">
        <f>SUM(H22:H27)</f>
        <v>-21961369.151044793</v>
      </c>
      <c r="I28" s="899">
        <f>SUM(I22:I27)</f>
        <v>17431256.706342999</v>
      </c>
      <c r="N28" s="879"/>
      <c r="O28" s="879"/>
      <c r="P28" s="879"/>
      <c r="Q28" s="879"/>
    </row>
    <row r="29" spans="1:17">
      <c r="C29" s="887"/>
      <c r="N29" s="879"/>
      <c r="O29" s="879"/>
      <c r="P29" s="879"/>
      <c r="Q29" s="879"/>
    </row>
    <row r="30" spans="1:17">
      <c r="N30" s="879"/>
      <c r="O30" s="879"/>
      <c r="P30" s="879"/>
      <c r="Q30" s="879"/>
    </row>
    <row r="31" spans="1:17">
      <c r="J31" s="879"/>
      <c r="K31" s="879"/>
      <c r="L31" s="879"/>
      <c r="M31" s="879"/>
      <c r="N31" s="879"/>
      <c r="O31" s="879"/>
      <c r="P31" s="879"/>
      <c r="Q31" s="879"/>
    </row>
    <row r="32" spans="1:17">
      <c r="J32" s="879"/>
      <c r="K32" s="879"/>
      <c r="L32" s="879"/>
      <c r="M32" s="879"/>
      <c r="N32" s="879"/>
      <c r="O32" s="879"/>
      <c r="P32" s="879"/>
      <c r="Q32" s="879"/>
    </row>
    <row r="33" spans="1:17">
      <c r="B33" s="881" t="s">
        <v>844</v>
      </c>
      <c r="F33" s="882"/>
      <c r="J33" s="879"/>
      <c r="K33" s="879"/>
      <c r="L33" s="879"/>
      <c r="M33" s="879"/>
      <c r="N33" s="879"/>
      <c r="O33" s="879"/>
      <c r="P33" s="879"/>
      <c r="Q33" s="879"/>
    </row>
    <row r="34" spans="1:17">
      <c r="E34" s="882"/>
      <c r="I34" s="883"/>
      <c r="J34" s="879"/>
      <c r="K34" s="879"/>
      <c r="L34" s="879"/>
      <c r="M34" s="879"/>
      <c r="N34" s="879"/>
      <c r="O34" s="879"/>
      <c r="P34" s="879"/>
      <c r="Q34" s="879"/>
    </row>
    <row r="35" spans="1:17">
      <c r="D35" s="884" t="s">
        <v>830</v>
      </c>
      <c r="E35" s="885"/>
      <c r="F35" s="884" t="s">
        <v>831</v>
      </c>
      <c r="G35" s="884" t="s">
        <v>832</v>
      </c>
      <c r="H35" s="884" t="s">
        <v>836</v>
      </c>
      <c r="I35" s="886" t="s">
        <v>834</v>
      </c>
      <c r="J35" s="886" t="s">
        <v>835</v>
      </c>
      <c r="K35" s="886" t="s">
        <v>837</v>
      </c>
      <c r="L35" s="879"/>
      <c r="M35" s="879"/>
      <c r="N35" s="879"/>
      <c r="O35" s="879"/>
      <c r="P35" s="879"/>
      <c r="Q35" s="879"/>
    </row>
    <row r="36" spans="1:17">
      <c r="E36" s="879"/>
      <c r="I36" s="879"/>
      <c r="J36" s="879"/>
      <c r="K36" s="879"/>
      <c r="L36" s="879"/>
      <c r="M36" s="879"/>
      <c r="N36" s="879"/>
      <c r="O36" s="879"/>
      <c r="P36" s="879"/>
      <c r="Q36" s="879"/>
    </row>
    <row r="37" spans="1:17">
      <c r="A37" s="868">
        <f>+A28+1</f>
        <v>9</v>
      </c>
      <c r="B37" s="868" t="s">
        <v>838</v>
      </c>
      <c r="D37" s="1088">
        <v>-11724907</v>
      </c>
      <c r="E37" s="1089"/>
      <c r="F37" s="1088">
        <v>-9493012</v>
      </c>
      <c r="G37" s="1088">
        <v>-2659203</v>
      </c>
      <c r="H37" s="1088">
        <v>-312354</v>
      </c>
      <c r="I37" s="1088">
        <v>-8286927</v>
      </c>
      <c r="J37" s="1088">
        <v>-605514</v>
      </c>
      <c r="K37" s="882">
        <f>SUM(D37:J37)</f>
        <v>-33081917</v>
      </c>
      <c r="L37" s="879" t="s">
        <v>114</v>
      </c>
      <c r="M37" s="879"/>
      <c r="N37" s="879"/>
      <c r="O37" s="879"/>
      <c r="P37" s="879"/>
      <c r="Q37" s="879"/>
    </row>
    <row r="38" spans="1:17">
      <c r="D38" s="887"/>
      <c r="E38" s="879"/>
      <c r="F38" s="887"/>
      <c r="G38" s="887"/>
      <c r="H38" s="887"/>
      <c r="I38" s="887"/>
      <c r="J38" s="887"/>
    </row>
    <row r="39" spans="1:17">
      <c r="A39" s="868">
        <f>+A37+1</f>
        <v>10</v>
      </c>
      <c r="B39" s="1310" t="s">
        <v>839</v>
      </c>
      <c r="C39" s="1310"/>
      <c r="D39" s="1088">
        <v>321470.5500000082</v>
      </c>
      <c r="E39" s="1089"/>
      <c r="F39" s="1088">
        <v>1061571.0399999991</v>
      </c>
      <c r="G39" s="1088">
        <v>-144047.14999999758</v>
      </c>
      <c r="H39" s="1088">
        <v>0</v>
      </c>
      <c r="I39" s="1088">
        <v>-0.23999999836087227</v>
      </c>
      <c r="J39" s="1088">
        <v>144047.03000000009</v>
      </c>
      <c r="K39" s="882"/>
      <c r="L39" s="879"/>
      <c r="M39" s="879"/>
      <c r="N39" s="879"/>
      <c r="O39" s="879"/>
      <c r="P39" s="879"/>
      <c r="Q39" s="879"/>
    </row>
    <row r="40" spans="1:17">
      <c r="B40" s="1310"/>
      <c r="C40" s="1310"/>
      <c r="D40" s="882"/>
      <c r="E40" s="879"/>
      <c r="F40" s="882"/>
      <c r="G40" s="882"/>
      <c r="H40" s="882"/>
      <c r="I40" s="882"/>
      <c r="J40" s="882"/>
      <c r="L40" s="879"/>
      <c r="M40" s="879"/>
      <c r="N40" s="879"/>
      <c r="O40" s="879"/>
      <c r="P40" s="879"/>
      <c r="Q40" s="879"/>
    </row>
    <row r="41" spans="1:17">
      <c r="A41" s="868">
        <f>+A39+1</f>
        <v>11</v>
      </c>
      <c r="B41" s="868" t="s">
        <v>840</v>
      </c>
      <c r="D41" s="1088"/>
      <c r="E41" s="1089"/>
      <c r="F41" s="1088"/>
      <c r="G41" s="1088"/>
      <c r="H41" s="1088"/>
      <c r="I41" s="1088"/>
      <c r="J41" s="1088"/>
      <c r="K41" s="882">
        <f>SUM(D41:J41)</f>
        <v>0</v>
      </c>
      <c r="L41" s="879"/>
      <c r="M41" s="879"/>
      <c r="N41" s="879"/>
      <c r="O41" s="879"/>
      <c r="P41" s="879"/>
      <c r="Q41" s="879"/>
    </row>
    <row r="42" spans="1:17">
      <c r="D42" s="889"/>
      <c r="E42" s="890"/>
      <c r="F42" s="889"/>
      <c r="G42" s="889"/>
      <c r="H42" s="889"/>
      <c r="I42" s="890"/>
      <c r="J42" s="890"/>
      <c r="K42" s="889"/>
      <c r="L42" s="879"/>
      <c r="M42" s="879"/>
      <c r="N42" s="879"/>
      <c r="O42" s="879"/>
      <c r="P42" s="879"/>
      <c r="Q42" s="879"/>
    </row>
    <row r="43" spans="1:17">
      <c r="A43" s="868">
        <f>+A41+1</f>
        <v>12</v>
      </c>
      <c r="B43" s="868" t="str">
        <f>"Net Company Expense (Ln "&amp;A37&amp;" + Ln "&amp;A39&amp;" + Ln  "&amp;A41&amp;")"</f>
        <v>Net Company Expense (Ln 9 + Ln 10 + Ln  11)</v>
      </c>
      <c r="D43" s="882">
        <f t="shared" ref="D43:J43" si="9">+D37+D41+D39</f>
        <v>-11403436.449999992</v>
      </c>
      <c r="E43" s="883"/>
      <c r="F43" s="882">
        <f t="shared" si="9"/>
        <v>-8431440.9600000009</v>
      </c>
      <c r="G43" s="882">
        <f t="shared" si="9"/>
        <v>-2803250.1499999976</v>
      </c>
      <c r="H43" s="882">
        <f t="shared" si="9"/>
        <v>-312354</v>
      </c>
      <c r="I43" s="882">
        <f t="shared" si="9"/>
        <v>-8286927.2399999984</v>
      </c>
      <c r="J43" s="882">
        <f t="shared" si="9"/>
        <v>-461466.96999999991</v>
      </c>
      <c r="K43" s="882">
        <f>SUM(D43:J43)</f>
        <v>-31698875.769999988</v>
      </c>
      <c r="L43" s="879"/>
      <c r="M43" s="879"/>
      <c r="N43" s="879"/>
      <c r="O43" s="879"/>
      <c r="P43" s="879"/>
      <c r="Q43" s="879"/>
    </row>
    <row r="44" spans="1:17">
      <c r="E44" s="879"/>
      <c r="G44" s="882">
        <f>+G40+G42</f>
        <v>0</v>
      </c>
      <c r="I44" s="879"/>
      <c r="J44" s="879"/>
      <c r="L44" s="891"/>
      <c r="M44" s="879"/>
      <c r="N44" s="879"/>
      <c r="O44" s="879"/>
      <c r="P44" s="879"/>
      <c r="Q44" s="879"/>
    </row>
    <row r="45" spans="1:17">
      <c r="A45" s="868">
        <f>+A43+1</f>
        <v>13</v>
      </c>
      <c r="B45" s="1310" t="s">
        <v>841</v>
      </c>
      <c r="C45" s="1310"/>
      <c r="D45" s="1088">
        <v>-3898083.2088364419</v>
      </c>
      <c r="E45" s="1089"/>
      <c r="F45" s="1088">
        <v>-2110917.1541485414</v>
      </c>
      <c r="G45" s="1088">
        <v>-671289.21441354265</v>
      </c>
      <c r="H45" s="1088">
        <v>-81136.402555422246</v>
      </c>
      <c r="I45" s="1088">
        <v>-3151035.0853797835</v>
      </c>
      <c r="J45" s="1088">
        <v>-411136.7497052509</v>
      </c>
      <c r="K45" s="882">
        <f>SUM(D45:J45)</f>
        <v>-10323597.815038983</v>
      </c>
      <c r="L45" s="892" t="s">
        <v>114</v>
      </c>
      <c r="M45" s="879"/>
      <c r="N45" s="879"/>
      <c r="O45" s="879"/>
      <c r="P45" s="879"/>
      <c r="Q45" s="879"/>
    </row>
    <row r="46" spans="1:17">
      <c r="B46" s="1310"/>
      <c r="C46" s="1310"/>
      <c r="E46" s="879"/>
      <c r="I46" s="879"/>
      <c r="J46" s="879"/>
      <c r="L46" s="879"/>
      <c r="M46" s="879"/>
      <c r="N46" s="879"/>
      <c r="O46" s="879"/>
      <c r="P46" s="879"/>
      <c r="Q46" s="879"/>
    </row>
    <row r="47" spans="1:17" ht="13.5" thickBot="1">
      <c r="A47" s="868">
        <f>+A45+1</f>
        <v>14</v>
      </c>
      <c r="B47" s="868" t="str">
        <f>"Company PBOP Expense (Ln "&amp;A43&amp;" + Ln  "&amp;A45&amp;")"</f>
        <v>Company PBOP Expense (Ln 12 + Ln  13)</v>
      </c>
      <c r="D47" s="893">
        <f>+D45+D41+D39+D37</f>
        <v>-15301519.658836434</v>
      </c>
      <c r="E47" s="894"/>
      <c r="F47" s="893">
        <f>+F45+F41+F39+F37</f>
        <v>-10542358.114148542</v>
      </c>
      <c r="G47" s="893">
        <f>+G45+G41+G39+G37</f>
        <v>-3474539.3644135403</v>
      </c>
      <c r="H47" s="893">
        <f>+H45+H41+H39+H37</f>
        <v>-393490.40255542228</v>
      </c>
      <c r="I47" s="893">
        <f>+I45+I41+I39+I37</f>
        <v>-11437962.325379781</v>
      </c>
      <c r="J47" s="893">
        <f>+J45+J41+J39+J37</f>
        <v>-872603.71970525081</v>
      </c>
      <c r="K47" s="895">
        <f>SUM(D47:J47)</f>
        <v>-42022473.585038975</v>
      </c>
      <c r="L47" s="879"/>
      <c r="M47" s="879"/>
      <c r="N47" s="879"/>
      <c r="O47" s="879"/>
      <c r="P47" s="879"/>
      <c r="Q47" s="879"/>
    </row>
    <row r="48" spans="1:17" ht="13.5" thickTop="1">
      <c r="I48" s="879"/>
      <c r="J48" s="879"/>
      <c r="K48" s="879"/>
      <c r="L48" s="879"/>
      <c r="M48" s="879"/>
      <c r="N48" s="879"/>
      <c r="O48" s="879"/>
      <c r="P48" s="879"/>
      <c r="Q48" s="879"/>
    </row>
    <row r="49" spans="1:17">
      <c r="A49" s="1311" t="s">
        <v>842</v>
      </c>
      <c r="B49" s="1311"/>
      <c r="C49" s="1311"/>
      <c r="D49" s="1311"/>
      <c r="E49" s="1311"/>
      <c r="F49" s="1311"/>
      <c r="G49" s="1311"/>
      <c r="H49" s="1311"/>
      <c r="I49" s="1311"/>
      <c r="J49" s="1311"/>
      <c r="K49" s="1311"/>
      <c r="L49" s="896"/>
      <c r="M49" s="879"/>
      <c r="N49" s="879"/>
      <c r="O49" s="879"/>
      <c r="P49" s="879"/>
      <c r="Q49" s="879"/>
    </row>
    <row r="50" spans="1:17">
      <c r="A50" s="1311"/>
      <c r="B50" s="1311"/>
      <c r="C50" s="1311"/>
      <c r="D50" s="1311"/>
      <c r="E50" s="1311"/>
      <c r="F50" s="1311"/>
      <c r="G50" s="1311"/>
      <c r="H50" s="1311"/>
      <c r="I50" s="1311"/>
      <c r="J50" s="1311"/>
      <c r="K50" s="1311"/>
      <c r="L50" s="879"/>
      <c r="M50" s="879"/>
      <c r="N50" s="879"/>
      <c r="O50" s="879"/>
      <c r="P50" s="879"/>
      <c r="Q50" s="879"/>
    </row>
    <row r="51" spans="1:17">
      <c r="A51" s="1311"/>
      <c r="B51" s="1311"/>
      <c r="C51" s="1311"/>
      <c r="D51" s="1311"/>
      <c r="E51" s="1311"/>
      <c r="F51" s="1311"/>
      <c r="G51" s="1311"/>
      <c r="H51" s="1311"/>
      <c r="I51" s="1311"/>
      <c r="J51" s="1311"/>
      <c r="K51" s="1311"/>
      <c r="L51" s="879"/>
      <c r="M51" s="879"/>
      <c r="N51" s="879"/>
      <c r="O51" s="879"/>
      <c r="P51" s="879"/>
      <c r="Q51" s="879"/>
    </row>
    <row r="52" spans="1:17">
      <c r="A52" s="1311"/>
      <c r="B52" s="1311"/>
      <c r="C52" s="1311"/>
      <c r="D52" s="1311"/>
      <c r="E52" s="1311"/>
      <c r="F52" s="1311"/>
      <c r="G52" s="1311"/>
      <c r="H52" s="1311"/>
      <c r="I52" s="1311"/>
      <c r="J52" s="1311"/>
      <c r="K52" s="1311"/>
      <c r="Q52" s="879"/>
    </row>
    <row r="53" spans="1:17">
      <c r="A53" s="1311"/>
      <c r="B53" s="1311"/>
      <c r="C53" s="1311"/>
      <c r="D53" s="1311"/>
      <c r="E53" s="1311"/>
      <c r="F53" s="1311"/>
      <c r="G53" s="1311"/>
      <c r="H53" s="1311"/>
      <c r="I53" s="1311"/>
      <c r="J53" s="1311"/>
      <c r="K53" s="1311"/>
      <c r="Q53" s="879"/>
    </row>
    <row r="54" spans="1:17">
      <c r="A54" s="1311"/>
      <c r="B54" s="1311"/>
      <c r="C54" s="1311"/>
      <c r="D54" s="1311"/>
      <c r="E54" s="1311"/>
      <c r="F54" s="1311"/>
      <c r="G54" s="1311"/>
      <c r="H54" s="1311"/>
      <c r="I54" s="1311"/>
      <c r="J54" s="1311"/>
      <c r="K54" s="1311"/>
      <c r="Q54" s="879"/>
    </row>
    <row r="55" spans="1:17">
      <c r="A55" s="1311"/>
      <c r="B55" s="1311"/>
      <c r="C55" s="1311"/>
      <c r="D55" s="1311"/>
      <c r="E55" s="1311"/>
      <c r="F55" s="1311"/>
      <c r="G55" s="1311"/>
      <c r="H55" s="1311"/>
      <c r="I55" s="1311"/>
      <c r="J55" s="1311"/>
      <c r="K55" s="1311"/>
      <c r="Q55" s="879"/>
    </row>
    <row r="56" spans="1:17">
      <c r="A56" s="1311"/>
      <c r="B56" s="1311"/>
      <c r="C56" s="1311"/>
      <c r="D56" s="1311"/>
      <c r="E56" s="1311"/>
      <c r="F56" s="1311"/>
      <c r="G56" s="1311"/>
      <c r="H56" s="1311"/>
      <c r="I56" s="1311"/>
      <c r="J56" s="1311"/>
      <c r="K56" s="1311"/>
      <c r="Q56" s="879"/>
    </row>
    <row r="57" spans="1:17">
      <c r="A57" s="1311"/>
      <c r="B57" s="1311"/>
      <c r="C57" s="1311"/>
      <c r="D57" s="1311"/>
      <c r="E57" s="1311"/>
      <c r="F57" s="1311"/>
      <c r="G57" s="1311"/>
      <c r="H57" s="1311"/>
      <c r="I57" s="1311"/>
      <c r="J57" s="1311"/>
      <c r="K57" s="1311"/>
      <c r="Q57" s="879"/>
    </row>
    <row r="70" spans="13:13">
      <c r="M70" s="887"/>
    </row>
    <row r="71" spans="13:13">
      <c r="M71" s="897"/>
    </row>
    <row r="72" spans="13:13">
      <c r="M72" s="888"/>
    </row>
    <row r="73" spans="13:13" ht="12.75" customHeight="1">
      <c r="M73" s="888"/>
    </row>
    <row r="74" spans="13:13">
      <c r="M74" s="888"/>
    </row>
    <row r="75" spans="13:13">
      <c r="M75" s="888"/>
    </row>
    <row r="76" spans="13:13">
      <c r="M76" s="898"/>
    </row>
    <row r="77" spans="13:13">
      <c r="M77" s="898"/>
    </row>
    <row r="78" spans="13:13">
      <c r="M78" s="887"/>
    </row>
    <row r="79" spans="13:13">
      <c r="M79" s="887"/>
    </row>
    <row r="80" spans="13:13">
      <c r="M80" s="887"/>
    </row>
    <row r="81" spans="13:13">
      <c r="M81" s="887"/>
    </row>
    <row r="82" spans="13:13">
      <c r="M82" s="887"/>
    </row>
    <row r="83" spans="13:13">
      <c r="M83" s="887"/>
    </row>
    <row r="84" spans="13:13">
      <c r="M84" s="887"/>
    </row>
    <row r="85" spans="13:13">
      <c r="M85" s="899"/>
    </row>
    <row r="87" spans="13:13">
      <c r="M87" s="887"/>
    </row>
    <row r="92" spans="13:13">
      <c r="M92" s="887"/>
    </row>
    <row r="93" spans="13:13">
      <c r="M93" s="897"/>
    </row>
    <row r="94" spans="13:13">
      <c r="M94" s="888"/>
    </row>
    <row r="95" spans="13:13" ht="12.75" customHeight="1">
      <c r="M95" s="888"/>
    </row>
    <row r="96" spans="13:13">
      <c r="M96" s="888"/>
    </row>
    <row r="97" spans="13:13">
      <c r="M97" s="888"/>
    </row>
    <row r="98" spans="13:13">
      <c r="M98" s="898"/>
    </row>
    <row r="99" spans="13:13">
      <c r="M99" s="898"/>
    </row>
    <row r="100" spans="13:13">
      <c r="M100" s="887"/>
    </row>
    <row r="101" spans="13:13">
      <c r="M101" s="887"/>
    </row>
    <row r="102" spans="13:13">
      <c r="M102" s="887"/>
    </row>
    <row r="103" spans="13:13">
      <c r="M103" s="887"/>
    </row>
    <row r="104" spans="13:13">
      <c r="M104" s="887"/>
    </row>
    <row r="105" spans="13:13">
      <c r="M105" s="887"/>
    </row>
    <row r="106" spans="13:13">
      <c r="M106" s="887"/>
    </row>
    <row r="107" spans="13:13">
      <c r="M107" s="899"/>
    </row>
    <row r="109" spans="13:13">
      <c r="M109" s="887"/>
    </row>
    <row r="114" spans="13:13">
      <c r="M114" s="887"/>
    </row>
    <row r="115" spans="13:13">
      <c r="M115" s="897"/>
    </row>
    <row r="116" spans="13:13">
      <c r="M116" s="888"/>
    </row>
    <row r="117" spans="13:13" ht="12.75" customHeight="1">
      <c r="M117" s="888"/>
    </row>
    <row r="118" spans="13:13">
      <c r="M118" s="888"/>
    </row>
    <row r="119" spans="13:13">
      <c r="M119" s="888"/>
    </row>
    <row r="120" spans="13:13">
      <c r="M120" s="898"/>
    </row>
    <row r="121" spans="13:13">
      <c r="M121" s="898"/>
    </row>
    <row r="122" spans="13:13">
      <c r="M122" s="887"/>
    </row>
    <row r="123" spans="13:13">
      <c r="M123" s="887"/>
    </row>
    <row r="124" spans="13:13">
      <c r="M124" s="887"/>
    </row>
    <row r="125" spans="13:13">
      <c r="M125" s="887"/>
    </row>
    <row r="126" spans="13:13">
      <c r="M126" s="887"/>
    </row>
    <row r="127" spans="13:13">
      <c r="M127" s="887"/>
    </row>
    <row r="128" spans="13:13">
      <c r="M128" s="887"/>
    </row>
    <row r="129" spans="13:13">
      <c r="M129" s="899"/>
    </row>
    <row r="131" spans="13:13">
      <c r="M131" s="887"/>
    </row>
    <row r="136" spans="13:13">
      <c r="M136" s="887"/>
    </row>
    <row r="137" spans="13:13">
      <c r="M137" s="897"/>
    </row>
    <row r="138" spans="13:13">
      <c r="M138" s="888"/>
    </row>
    <row r="139" spans="13:13" ht="12.75" customHeight="1">
      <c r="M139" s="888"/>
    </row>
    <row r="140" spans="13:13">
      <c r="M140" s="888"/>
    </row>
    <row r="141" spans="13:13">
      <c r="M141" s="888"/>
    </row>
    <row r="142" spans="13:13">
      <c r="M142" s="898"/>
    </row>
    <row r="143" spans="13:13">
      <c r="M143" s="898"/>
    </row>
    <row r="144" spans="13:13">
      <c r="M144" s="887"/>
    </row>
    <row r="145" spans="13:13">
      <c r="M145" s="887"/>
    </row>
    <row r="146" spans="13:13">
      <c r="M146" s="887"/>
    </row>
    <row r="147" spans="13:13">
      <c r="M147" s="887"/>
    </row>
    <row r="148" spans="13:13">
      <c r="M148" s="887"/>
    </row>
    <row r="149" spans="13:13">
      <c r="M149" s="887"/>
    </row>
    <row r="150" spans="13:13">
      <c r="M150" s="887"/>
    </row>
    <row r="151" spans="13:13">
      <c r="M151" s="899"/>
    </row>
    <row r="153" spans="13:13">
      <c r="M153" s="887"/>
    </row>
    <row r="158" spans="13:13">
      <c r="M158" s="887"/>
    </row>
    <row r="159" spans="13:13">
      <c r="M159" s="897"/>
    </row>
    <row r="160" spans="13:13" ht="12.75" customHeight="1">
      <c r="M160" s="888"/>
    </row>
    <row r="161" spans="13:13" ht="12.75" customHeight="1">
      <c r="M161" s="888"/>
    </row>
    <row r="162" spans="13:13">
      <c r="M162" s="888"/>
    </row>
    <row r="163" spans="13:13" ht="12.75" customHeight="1">
      <c r="M163" s="888"/>
    </row>
    <row r="164" spans="13:13">
      <c r="M164" s="898"/>
    </row>
    <row r="165" spans="13:13">
      <c r="M165" s="898"/>
    </row>
    <row r="166" spans="13:13">
      <c r="M166" s="887"/>
    </row>
    <row r="167" spans="13:13">
      <c r="M167" s="887"/>
    </row>
    <row r="168" spans="13:13">
      <c r="M168" s="887"/>
    </row>
    <row r="169" spans="13:13">
      <c r="M169" s="887"/>
    </row>
    <row r="170" spans="13:13">
      <c r="M170" s="887"/>
    </row>
    <row r="171" spans="13:13">
      <c r="M171" s="887"/>
    </row>
    <row r="172" spans="13:13">
      <c r="M172" s="887"/>
    </row>
    <row r="173" spans="13:13">
      <c r="M173" s="899"/>
    </row>
    <row r="175" spans="13:13">
      <c r="M175" s="887"/>
    </row>
  </sheetData>
  <mergeCells count="16">
    <mergeCell ref="B14:C14"/>
    <mergeCell ref="B39:C40"/>
    <mergeCell ref="B45:C46"/>
    <mergeCell ref="A49:K57"/>
    <mergeCell ref="C15:E15"/>
    <mergeCell ref="C16:C18"/>
    <mergeCell ref="D16:D18"/>
    <mergeCell ref="E16:E18"/>
    <mergeCell ref="I16:I18"/>
    <mergeCell ref="F17:F18"/>
    <mergeCell ref="H17:H18"/>
    <mergeCell ref="A3:K3"/>
    <mergeCell ref="A4:K4"/>
    <mergeCell ref="A5:K5"/>
    <mergeCell ref="A6:K6"/>
    <mergeCell ref="B9:M9"/>
  </mergeCells>
  <pageMargins left="0.32" right="0.25" top="1" bottom="0.43" header="0.75" footer="0.17"/>
  <pageSetup scale="63" orientation="landscape" r:id="rId1"/>
  <headerFooter alignWithMargins="0">
    <oddHeader>&amp;R&amp;"Arial,Bold"Formula Rate 
&amp;A
Page &amp;P of &amp;N</oddHeader>
  </headerFooter>
  <rowBreaks count="1" manualBreakCount="1">
    <brk id="130" min="1" max="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codeName="Sheet20">
    <pageSetUpPr fitToPage="1"/>
  </sheetPr>
  <dimension ref="A1:S56"/>
  <sheetViews>
    <sheetView tabSelected="1" defaultGridColor="0" view="pageBreakPreview" colorId="22" zoomScale="60" zoomScaleNormal="70" workbookViewId="0">
      <selection activeCell="D11" sqref="D11"/>
    </sheetView>
  </sheetViews>
  <sheetFormatPr defaultColWidth="14.7109375" defaultRowHeight="12.75"/>
  <cols>
    <col min="1" max="1" width="33.140625" customWidth="1"/>
    <col min="2" max="2" width="11" customWidth="1"/>
    <col min="3" max="3" width="16.85546875" customWidth="1"/>
    <col min="4" max="4" width="16.7109375" customWidth="1"/>
    <col min="5" max="5" width="14.7109375" customWidth="1"/>
    <col min="6" max="6" width="4.85546875" customWidth="1"/>
    <col min="7" max="7" width="14.7109375" customWidth="1"/>
    <col min="8" max="8" width="18.28515625" customWidth="1"/>
    <col min="9" max="9" width="15.5703125" customWidth="1"/>
    <col min="10" max="10" width="6.140625" customWidth="1"/>
    <col min="11" max="11" width="14.7109375" customWidth="1"/>
    <col min="12" max="12" width="16.140625" customWidth="1"/>
    <col min="13" max="13" width="14.7109375" customWidth="1"/>
    <col min="14" max="14" width="4.85546875" customWidth="1"/>
    <col min="15" max="15" width="18.5703125" customWidth="1"/>
    <col min="257" max="257" width="33.140625" customWidth="1"/>
    <col min="258" max="258" width="11" customWidth="1"/>
    <col min="259" max="259" width="16.85546875" customWidth="1"/>
    <col min="260" max="260" width="16.7109375" customWidth="1"/>
    <col min="261" max="261" width="14.7109375" customWidth="1"/>
    <col min="262" max="262" width="4.85546875" customWidth="1"/>
    <col min="263" max="263" width="14.7109375" customWidth="1"/>
    <col min="264" max="264" width="18.28515625" customWidth="1"/>
    <col min="265" max="265" width="15.5703125" customWidth="1"/>
    <col min="266" max="266" width="6.140625" customWidth="1"/>
    <col min="267" max="267" width="14.7109375" customWidth="1"/>
    <col min="268" max="268" width="16.140625" customWidth="1"/>
    <col min="269" max="269" width="14.7109375" customWidth="1"/>
    <col min="270" max="270" width="4.85546875" customWidth="1"/>
    <col min="271" max="271" width="18.5703125" customWidth="1"/>
    <col min="513" max="513" width="33.140625" customWidth="1"/>
    <col min="514" max="514" width="11" customWidth="1"/>
    <col min="515" max="515" width="16.85546875" customWidth="1"/>
    <col min="516" max="516" width="16.7109375" customWidth="1"/>
    <col min="517" max="517" width="14.7109375" customWidth="1"/>
    <col min="518" max="518" width="4.85546875" customWidth="1"/>
    <col min="519" max="519" width="14.7109375" customWidth="1"/>
    <col min="520" max="520" width="18.28515625" customWidth="1"/>
    <col min="521" max="521" width="15.5703125" customWidth="1"/>
    <col min="522" max="522" width="6.140625" customWidth="1"/>
    <col min="523" max="523" width="14.7109375" customWidth="1"/>
    <col min="524" max="524" width="16.140625" customWidth="1"/>
    <col min="525" max="525" width="14.7109375" customWidth="1"/>
    <col min="526" max="526" width="4.85546875" customWidth="1"/>
    <col min="527" max="527" width="18.5703125" customWidth="1"/>
    <col min="769" max="769" width="33.140625" customWidth="1"/>
    <col min="770" max="770" width="11" customWidth="1"/>
    <col min="771" max="771" width="16.85546875" customWidth="1"/>
    <col min="772" max="772" width="16.7109375" customWidth="1"/>
    <col min="773" max="773" width="14.7109375" customWidth="1"/>
    <col min="774" max="774" width="4.85546875" customWidth="1"/>
    <col min="775" max="775" width="14.7109375" customWidth="1"/>
    <col min="776" max="776" width="18.28515625" customWidth="1"/>
    <col min="777" max="777" width="15.5703125" customWidth="1"/>
    <col min="778" max="778" width="6.140625" customWidth="1"/>
    <col min="779" max="779" width="14.7109375" customWidth="1"/>
    <col min="780" max="780" width="16.140625" customWidth="1"/>
    <col min="781" max="781" width="14.7109375" customWidth="1"/>
    <col min="782" max="782" width="4.85546875" customWidth="1"/>
    <col min="783" max="783" width="18.5703125" customWidth="1"/>
    <col min="1025" max="1025" width="33.140625" customWidth="1"/>
    <col min="1026" max="1026" width="11" customWidth="1"/>
    <col min="1027" max="1027" width="16.85546875" customWidth="1"/>
    <col min="1028" max="1028" width="16.7109375" customWidth="1"/>
    <col min="1029" max="1029" width="14.7109375" customWidth="1"/>
    <col min="1030" max="1030" width="4.85546875" customWidth="1"/>
    <col min="1031" max="1031" width="14.7109375" customWidth="1"/>
    <col min="1032" max="1032" width="18.28515625" customWidth="1"/>
    <col min="1033" max="1033" width="15.5703125" customWidth="1"/>
    <col min="1034" max="1034" width="6.140625" customWidth="1"/>
    <col min="1035" max="1035" width="14.7109375" customWidth="1"/>
    <col min="1036" max="1036" width="16.140625" customWidth="1"/>
    <col min="1037" max="1037" width="14.7109375" customWidth="1"/>
    <col min="1038" max="1038" width="4.85546875" customWidth="1"/>
    <col min="1039" max="1039" width="18.5703125" customWidth="1"/>
    <col min="1281" max="1281" width="33.140625" customWidth="1"/>
    <col min="1282" max="1282" width="11" customWidth="1"/>
    <col min="1283" max="1283" width="16.85546875" customWidth="1"/>
    <col min="1284" max="1284" width="16.7109375" customWidth="1"/>
    <col min="1285" max="1285" width="14.7109375" customWidth="1"/>
    <col min="1286" max="1286" width="4.85546875" customWidth="1"/>
    <col min="1287" max="1287" width="14.7109375" customWidth="1"/>
    <col min="1288" max="1288" width="18.28515625" customWidth="1"/>
    <col min="1289" max="1289" width="15.5703125" customWidth="1"/>
    <col min="1290" max="1290" width="6.140625" customWidth="1"/>
    <col min="1291" max="1291" width="14.7109375" customWidth="1"/>
    <col min="1292" max="1292" width="16.140625" customWidth="1"/>
    <col min="1293" max="1293" width="14.7109375" customWidth="1"/>
    <col min="1294" max="1294" width="4.85546875" customWidth="1"/>
    <col min="1295" max="1295" width="18.5703125" customWidth="1"/>
    <col min="1537" max="1537" width="33.140625" customWidth="1"/>
    <col min="1538" max="1538" width="11" customWidth="1"/>
    <col min="1539" max="1539" width="16.85546875" customWidth="1"/>
    <col min="1540" max="1540" width="16.7109375" customWidth="1"/>
    <col min="1541" max="1541" width="14.7109375" customWidth="1"/>
    <col min="1542" max="1542" width="4.85546875" customWidth="1"/>
    <col min="1543" max="1543" width="14.7109375" customWidth="1"/>
    <col min="1544" max="1544" width="18.28515625" customWidth="1"/>
    <col min="1545" max="1545" width="15.5703125" customWidth="1"/>
    <col min="1546" max="1546" width="6.140625" customWidth="1"/>
    <col min="1547" max="1547" width="14.7109375" customWidth="1"/>
    <col min="1548" max="1548" width="16.140625" customWidth="1"/>
    <col min="1549" max="1549" width="14.7109375" customWidth="1"/>
    <col min="1550" max="1550" width="4.85546875" customWidth="1"/>
    <col min="1551" max="1551" width="18.5703125" customWidth="1"/>
    <col min="1793" max="1793" width="33.140625" customWidth="1"/>
    <col min="1794" max="1794" width="11" customWidth="1"/>
    <col min="1795" max="1795" width="16.85546875" customWidth="1"/>
    <col min="1796" max="1796" width="16.7109375" customWidth="1"/>
    <col min="1797" max="1797" width="14.7109375" customWidth="1"/>
    <col min="1798" max="1798" width="4.85546875" customWidth="1"/>
    <col min="1799" max="1799" width="14.7109375" customWidth="1"/>
    <col min="1800" max="1800" width="18.28515625" customWidth="1"/>
    <col min="1801" max="1801" width="15.5703125" customWidth="1"/>
    <col min="1802" max="1802" width="6.140625" customWidth="1"/>
    <col min="1803" max="1803" width="14.7109375" customWidth="1"/>
    <col min="1804" max="1804" width="16.140625" customWidth="1"/>
    <col min="1805" max="1805" width="14.7109375" customWidth="1"/>
    <col min="1806" max="1806" width="4.85546875" customWidth="1"/>
    <col min="1807" max="1807" width="18.5703125" customWidth="1"/>
    <col min="2049" max="2049" width="33.140625" customWidth="1"/>
    <col min="2050" max="2050" width="11" customWidth="1"/>
    <col min="2051" max="2051" width="16.85546875" customWidth="1"/>
    <col min="2052" max="2052" width="16.7109375" customWidth="1"/>
    <col min="2053" max="2053" width="14.7109375" customWidth="1"/>
    <col min="2054" max="2054" width="4.85546875" customWidth="1"/>
    <col min="2055" max="2055" width="14.7109375" customWidth="1"/>
    <col min="2056" max="2056" width="18.28515625" customWidth="1"/>
    <col min="2057" max="2057" width="15.5703125" customWidth="1"/>
    <col min="2058" max="2058" width="6.140625" customWidth="1"/>
    <col min="2059" max="2059" width="14.7109375" customWidth="1"/>
    <col min="2060" max="2060" width="16.140625" customWidth="1"/>
    <col min="2061" max="2061" width="14.7109375" customWidth="1"/>
    <col min="2062" max="2062" width="4.85546875" customWidth="1"/>
    <col min="2063" max="2063" width="18.5703125" customWidth="1"/>
    <col min="2305" max="2305" width="33.140625" customWidth="1"/>
    <col min="2306" max="2306" width="11" customWidth="1"/>
    <col min="2307" max="2307" width="16.85546875" customWidth="1"/>
    <col min="2308" max="2308" width="16.7109375" customWidth="1"/>
    <col min="2309" max="2309" width="14.7109375" customWidth="1"/>
    <col min="2310" max="2310" width="4.85546875" customWidth="1"/>
    <col min="2311" max="2311" width="14.7109375" customWidth="1"/>
    <col min="2312" max="2312" width="18.28515625" customWidth="1"/>
    <col min="2313" max="2313" width="15.5703125" customWidth="1"/>
    <col min="2314" max="2314" width="6.140625" customWidth="1"/>
    <col min="2315" max="2315" width="14.7109375" customWidth="1"/>
    <col min="2316" max="2316" width="16.140625" customWidth="1"/>
    <col min="2317" max="2317" width="14.7109375" customWidth="1"/>
    <col min="2318" max="2318" width="4.85546875" customWidth="1"/>
    <col min="2319" max="2319" width="18.5703125" customWidth="1"/>
    <col min="2561" max="2561" width="33.140625" customWidth="1"/>
    <col min="2562" max="2562" width="11" customWidth="1"/>
    <col min="2563" max="2563" width="16.85546875" customWidth="1"/>
    <col min="2564" max="2564" width="16.7109375" customWidth="1"/>
    <col min="2565" max="2565" width="14.7109375" customWidth="1"/>
    <col min="2566" max="2566" width="4.85546875" customWidth="1"/>
    <col min="2567" max="2567" width="14.7109375" customWidth="1"/>
    <col min="2568" max="2568" width="18.28515625" customWidth="1"/>
    <col min="2569" max="2569" width="15.5703125" customWidth="1"/>
    <col min="2570" max="2570" width="6.140625" customWidth="1"/>
    <col min="2571" max="2571" width="14.7109375" customWidth="1"/>
    <col min="2572" max="2572" width="16.140625" customWidth="1"/>
    <col min="2573" max="2573" width="14.7109375" customWidth="1"/>
    <col min="2574" max="2574" width="4.85546875" customWidth="1"/>
    <col min="2575" max="2575" width="18.5703125" customWidth="1"/>
    <col min="2817" max="2817" width="33.140625" customWidth="1"/>
    <col min="2818" max="2818" width="11" customWidth="1"/>
    <col min="2819" max="2819" width="16.85546875" customWidth="1"/>
    <col min="2820" max="2820" width="16.7109375" customWidth="1"/>
    <col min="2821" max="2821" width="14.7109375" customWidth="1"/>
    <col min="2822" max="2822" width="4.85546875" customWidth="1"/>
    <col min="2823" max="2823" width="14.7109375" customWidth="1"/>
    <col min="2824" max="2824" width="18.28515625" customWidth="1"/>
    <col min="2825" max="2825" width="15.5703125" customWidth="1"/>
    <col min="2826" max="2826" width="6.140625" customWidth="1"/>
    <col min="2827" max="2827" width="14.7109375" customWidth="1"/>
    <col min="2828" max="2828" width="16.140625" customWidth="1"/>
    <col min="2829" max="2829" width="14.7109375" customWidth="1"/>
    <col min="2830" max="2830" width="4.85546875" customWidth="1"/>
    <col min="2831" max="2831" width="18.5703125" customWidth="1"/>
    <col min="3073" max="3073" width="33.140625" customWidth="1"/>
    <col min="3074" max="3074" width="11" customWidth="1"/>
    <col min="3075" max="3075" width="16.85546875" customWidth="1"/>
    <col min="3076" max="3076" width="16.7109375" customWidth="1"/>
    <col min="3077" max="3077" width="14.7109375" customWidth="1"/>
    <col min="3078" max="3078" width="4.85546875" customWidth="1"/>
    <col min="3079" max="3079" width="14.7109375" customWidth="1"/>
    <col min="3080" max="3080" width="18.28515625" customWidth="1"/>
    <col min="3081" max="3081" width="15.5703125" customWidth="1"/>
    <col min="3082" max="3082" width="6.140625" customWidth="1"/>
    <col min="3083" max="3083" width="14.7109375" customWidth="1"/>
    <col min="3084" max="3084" width="16.140625" customWidth="1"/>
    <col min="3085" max="3085" width="14.7109375" customWidth="1"/>
    <col min="3086" max="3086" width="4.85546875" customWidth="1"/>
    <col min="3087" max="3087" width="18.5703125" customWidth="1"/>
    <col min="3329" max="3329" width="33.140625" customWidth="1"/>
    <col min="3330" max="3330" width="11" customWidth="1"/>
    <col min="3331" max="3331" width="16.85546875" customWidth="1"/>
    <col min="3332" max="3332" width="16.7109375" customWidth="1"/>
    <col min="3333" max="3333" width="14.7109375" customWidth="1"/>
    <col min="3334" max="3334" width="4.85546875" customWidth="1"/>
    <col min="3335" max="3335" width="14.7109375" customWidth="1"/>
    <col min="3336" max="3336" width="18.28515625" customWidth="1"/>
    <col min="3337" max="3337" width="15.5703125" customWidth="1"/>
    <col min="3338" max="3338" width="6.140625" customWidth="1"/>
    <col min="3339" max="3339" width="14.7109375" customWidth="1"/>
    <col min="3340" max="3340" width="16.140625" customWidth="1"/>
    <col min="3341" max="3341" width="14.7109375" customWidth="1"/>
    <col min="3342" max="3342" width="4.85546875" customWidth="1"/>
    <col min="3343" max="3343" width="18.5703125" customWidth="1"/>
    <col min="3585" max="3585" width="33.140625" customWidth="1"/>
    <col min="3586" max="3586" width="11" customWidth="1"/>
    <col min="3587" max="3587" width="16.85546875" customWidth="1"/>
    <col min="3588" max="3588" width="16.7109375" customWidth="1"/>
    <col min="3589" max="3589" width="14.7109375" customWidth="1"/>
    <col min="3590" max="3590" width="4.85546875" customWidth="1"/>
    <col min="3591" max="3591" width="14.7109375" customWidth="1"/>
    <col min="3592" max="3592" width="18.28515625" customWidth="1"/>
    <col min="3593" max="3593" width="15.5703125" customWidth="1"/>
    <col min="3594" max="3594" width="6.140625" customWidth="1"/>
    <col min="3595" max="3595" width="14.7109375" customWidth="1"/>
    <col min="3596" max="3596" width="16.140625" customWidth="1"/>
    <col min="3597" max="3597" width="14.7109375" customWidth="1"/>
    <col min="3598" max="3598" width="4.85546875" customWidth="1"/>
    <col min="3599" max="3599" width="18.5703125" customWidth="1"/>
    <col min="3841" max="3841" width="33.140625" customWidth="1"/>
    <col min="3842" max="3842" width="11" customWidth="1"/>
    <col min="3843" max="3843" width="16.85546875" customWidth="1"/>
    <col min="3844" max="3844" width="16.7109375" customWidth="1"/>
    <col min="3845" max="3845" width="14.7109375" customWidth="1"/>
    <col min="3846" max="3846" width="4.85546875" customWidth="1"/>
    <col min="3847" max="3847" width="14.7109375" customWidth="1"/>
    <col min="3848" max="3848" width="18.28515625" customWidth="1"/>
    <col min="3849" max="3849" width="15.5703125" customWidth="1"/>
    <col min="3850" max="3850" width="6.140625" customWidth="1"/>
    <col min="3851" max="3851" width="14.7109375" customWidth="1"/>
    <col min="3852" max="3852" width="16.140625" customWidth="1"/>
    <col min="3853" max="3853" width="14.7109375" customWidth="1"/>
    <col min="3854" max="3854" width="4.85546875" customWidth="1"/>
    <col min="3855" max="3855" width="18.5703125" customWidth="1"/>
    <col min="4097" max="4097" width="33.140625" customWidth="1"/>
    <col min="4098" max="4098" width="11" customWidth="1"/>
    <col min="4099" max="4099" width="16.85546875" customWidth="1"/>
    <col min="4100" max="4100" width="16.7109375" customWidth="1"/>
    <col min="4101" max="4101" width="14.7109375" customWidth="1"/>
    <col min="4102" max="4102" width="4.85546875" customWidth="1"/>
    <col min="4103" max="4103" width="14.7109375" customWidth="1"/>
    <col min="4104" max="4104" width="18.28515625" customWidth="1"/>
    <col min="4105" max="4105" width="15.5703125" customWidth="1"/>
    <col min="4106" max="4106" width="6.140625" customWidth="1"/>
    <col min="4107" max="4107" width="14.7109375" customWidth="1"/>
    <col min="4108" max="4108" width="16.140625" customWidth="1"/>
    <col min="4109" max="4109" width="14.7109375" customWidth="1"/>
    <col min="4110" max="4110" width="4.85546875" customWidth="1"/>
    <col min="4111" max="4111" width="18.5703125" customWidth="1"/>
    <col min="4353" max="4353" width="33.140625" customWidth="1"/>
    <col min="4354" max="4354" width="11" customWidth="1"/>
    <col min="4355" max="4355" width="16.85546875" customWidth="1"/>
    <col min="4356" max="4356" width="16.7109375" customWidth="1"/>
    <col min="4357" max="4357" width="14.7109375" customWidth="1"/>
    <col min="4358" max="4358" width="4.85546875" customWidth="1"/>
    <col min="4359" max="4359" width="14.7109375" customWidth="1"/>
    <col min="4360" max="4360" width="18.28515625" customWidth="1"/>
    <col min="4361" max="4361" width="15.5703125" customWidth="1"/>
    <col min="4362" max="4362" width="6.140625" customWidth="1"/>
    <col min="4363" max="4363" width="14.7109375" customWidth="1"/>
    <col min="4364" max="4364" width="16.140625" customWidth="1"/>
    <col min="4365" max="4365" width="14.7109375" customWidth="1"/>
    <col min="4366" max="4366" width="4.85546875" customWidth="1"/>
    <col min="4367" max="4367" width="18.5703125" customWidth="1"/>
    <col min="4609" max="4609" width="33.140625" customWidth="1"/>
    <col min="4610" max="4610" width="11" customWidth="1"/>
    <col min="4611" max="4611" width="16.85546875" customWidth="1"/>
    <col min="4612" max="4612" width="16.7109375" customWidth="1"/>
    <col min="4613" max="4613" width="14.7109375" customWidth="1"/>
    <col min="4614" max="4614" width="4.85546875" customWidth="1"/>
    <col min="4615" max="4615" width="14.7109375" customWidth="1"/>
    <col min="4616" max="4616" width="18.28515625" customWidth="1"/>
    <col min="4617" max="4617" width="15.5703125" customWidth="1"/>
    <col min="4618" max="4618" width="6.140625" customWidth="1"/>
    <col min="4619" max="4619" width="14.7109375" customWidth="1"/>
    <col min="4620" max="4620" width="16.140625" customWidth="1"/>
    <col min="4621" max="4621" width="14.7109375" customWidth="1"/>
    <col min="4622" max="4622" width="4.85546875" customWidth="1"/>
    <col min="4623" max="4623" width="18.5703125" customWidth="1"/>
    <col min="4865" max="4865" width="33.140625" customWidth="1"/>
    <col min="4866" max="4866" width="11" customWidth="1"/>
    <col min="4867" max="4867" width="16.85546875" customWidth="1"/>
    <col min="4868" max="4868" width="16.7109375" customWidth="1"/>
    <col min="4869" max="4869" width="14.7109375" customWidth="1"/>
    <col min="4870" max="4870" width="4.85546875" customWidth="1"/>
    <col min="4871" max="4871" width="14.7109375" customWidth="1"/>
    <col min="4872" max="4872" width="18.28515625" customWidth="1"/>
    <col min="4873" max="4873" width="15.5703125" customWidth="1"/>
    <col min="4874" max="4874" width="6.140625" customWidth="1"/>
    <col min="4875" max="4875" width="14.7109375" customWidth="1"/>
    <col min="4876" max="4876" width="16.140625" customWidth="1"/>
    <col min="4877" max="4877" width="14.7109375" customWidth="1"/>
    <col min="4878" max="4878" width="4.85546875" customWidth="1"/>
    <col min="4879" max="4879" width="18.5703125" customWidth="1"/>
    <col min="5121" max="5121" width="33.140625" customWidth="1"/>
    <col min="5122" max="5122" width="11" customWidth="1"/>
    <col min="5123" max="5123" width="16.85546875" customWidth="1"/>
    <col min="5124" max="5124" width="16.7109375" customWidth="1"/>
    <col min="5125" max="5125" width="14.7109375" customWidth="1"/>
    <col min="5126" max="5126" width="4.85546875" customWidth="1"/>
    <col min="5127" max="5127" width="14.7109375" customWidth="1"/>
    <col min="5128" max="5128" width="18.28515625" customWidth="1"/>
    <col min="5129" max="5129" width="15.5703125" customWidth="1"/>
    <col min="5130" max="5130" width="6.140625" customWidth="1"/>
    <col min="5131" max="5131" width="14.7109375" customWidth="1"/>
    <col min="5132" max="5132" width="16.140625" customWidth="1"/>
    <col min="5133" max="5133" width="14.7109375" customWidth="1"/>
    <col min="5134" max="5134" width="4.85546875" customWidth="1"/>
    <col min="5135" max="5135" width="18.5703125" customWidth="1"/>
    <col min="5377" max="5377" width="33.140625" customWidth="1"/>
    <col min="5378" max="5378" width="11" customWidth="1"/>
    <col min="5379" max="5379" width="16.85546875" customWidth="1"/>
    <col min="5380" max="5380" width="16.7109375" customWidth="1"/>
    <col min="5381" max="5381" width="14.7109375" customWidth="1"/>
    <col min="5382" max="5382" width="4.85546875" customWidth="1"/>
    <col min="5383" max="5383" width="14.7109375" customWidth="1"/>
    <col min="5384" max="5384" width="18.28515625" customWidth="1"/>
    <col min="5385" max="5385" width="15.5703125" customWidth="1"/>
    <col min="5386" max="5386" width="6.140625" customWidth="1"/>
    <col min="5387" max="5387" width="14.7109375" customWidth="1"/>
    <col min="5388" max="5388" width="16.140625" customWidth="1"/>
    <col min="5389" max="5389" width="14.7109375" customWidth="1"/>
    <col min="5390" max="5390" width="4.85546875" customWidth="1"/>
    <col min="5391" max="5391" width="18.5703125" customWidth="1"/>
    <col min="5633" max="5633" width="33.140625" customWidth="1"/>
    <col min="5634" max="5634" width="11" customWidth="1"/>
    <col min="5635" max="5635" width="16.85546875" customWidth="1"/>
    <col min="5636" max="5636" width="16.7109375" customWidth="1"/>
    <col min="5637" max="5637" width="14.7109375" customWidth="1"/>
    <col min="5638" max="5638" width="4.85546875" customWidth="1"/>
    <col min="5639" max="5639" width="14.7109375" customWidth="1"/>
    <col min="5640" max="5640" width="18.28515625" customWidth="1"/>
    <col min="5641" max="5641" width="15.5703125" customWidth="1"/>
    <col min="5642" max="5642" width="6.140625" customWidth="1"/>
    <col min="5643" max="5643" width="14.7109375" customWidth="1"/>
    <col min="5644" max="5644" width="16.140625" customWidth="1"/>
    <col min="5645" max="5645" width="14.7109375" customWidth="1"/>
    <col min="5646" max="5646" width="4.85546875" customWidth="1"/>
    <col min="5647" max="5647" width="18.5703125" customWidth="1"/>
    <col min="5889" max="5889" width="33.140625" customWidth="1"/>
    <col min="5890" max="5890" width="11" customWidth="1"/>
    <col min="5891" max="5891" width="16.85546875" customWidth="1"/>
    <col min="5892" max="5892" width="16.7109375" customWidth="1"/>
    <col min="5893" max="5893" width="14.7109375" customWidth="1"/>
    <col min="5894" max="5894" width="4.85546875" customWidth="1"/>
    <col min="5895" max="5895" width="14.7109375" customWidth="1"/>
    <col min="5896" max="5896" width="18.28515625" customWidth="1"/>
    <col min="5897" max="5897" width="15.5703125" customWidth="1"/>
    <col min="5898" max="5898" width="6.140625" customWidth="1"/>
    <col min="5899" max="5899" width="14.7109375" customWidth="1"/>
    <col min="5900" max="5900" width="16.140625" customWidth="1"/>
    <col min="5901" max="5901" width="14.7109375" customWidth="1"/>
    <col min="5902" max="5902" width="4.85546875" customWidth="1"/>
    <col min="5903" max="5903" width="18.5703125" customWidth="1"/>
    <col min="6145" max="6145" width="33.140625" customWidth="1"/>
    <col min="6146" max="6146" width="11" customWidth="1"/>
    <col min="6147" max="6147" width="16.85546875" customWidth="1"/>
    <col min="6148" max="6148" width="16.7109375" customWidth="1"/>
    <col min="6149" max="6149" width="14.7109375" customWidth="1"/>
    <col min="6150" max="6150" width="4.85546875" customWidth="1"/>
    <col min="6151" max="6151" width="14.7109375" customWidth="1"/>
    <col min="6152" max="6152" width="18.28515625" customWidth="1"/>
    <col min="6153" max="6153" width="15.5703125" customWidth="1"/>
    <col min="6154" max="6154" width="6.140625" customWidth="1"/>
    <col min="6155" max="6155" width="14.7109375" customWidth="1"/>
    <col min="6156" max="6156" width="16.140625" customWidth="1"/>
    <col min="6157" max="6157" width="14.7109375" customWidth="1"/>
    <col min="6158" max="6158" width="4.85546875" customWidth="1"/>
    <col min="6159" max="6159" width="18.5703125" customWidth="1"/>
    <col min="6401" max="6401" width="33.140625" customWidth="1"/>
    <col min="6402" max="6402" width="11" customWidth="1"/>
    <col min="6403" max="6403" width="16.85546875" customWidth="1"/>
    <col min="6404" max="6404" width="16.7109375" customWidth="1"/>
    <col min="6405" max="6405" width="14.7109375" customWidth="1"/>
    <col min="6406" max="6406" width="4.85546875" customWidth="1"/>
    <col min="6407" max="6407" width="14.7109375" customWidth="1"/>
    <col min="6408" max="6408" width="18.28515625" customWidth="1"/>
    <col min="6409" max="6409" width="15.5703125" customWidth="1"/>
    <col min="6410" max="6410" width="6.140625" customWidth="1"/>
    <col min="6411" max="6411" width="14.7109375" customWidth="1"/>
    <col min="6412" max="6412" width="16.140625" customWidth="1"/>
    <col min="6413" max="6413" width="14.7109375" customWidth="1"/>
    <col min="6414" max="6414" width="4.85546875" customWidth="1"/>
    <col min="6415" max="6415" width="18.5703125" customWidth="1"/>
    <col min="6657" max="6657" width="33.140625" customWidth="1"/>
    <col min="6658" max="6658" width="11" customWidth="1"/>
    <col min="6659" max="6659" width="16.85546875" customWidth="1"/>
    <col min="6660" max="6660" width="16.7109375" customWidth="1"/>
    <col min="6661" max="6661" width="14.7109375" customWidth="1"/>
    <col min="6662" max="6662" width="4.85546875" customWidth="1"/>
    <col min="6663" max="6663" width="14.7109375" customWidth="1"/>
    <col min="6664" max="6664" width="18.28515625" customWidth="1"/>
    <col min="6665" max="6665" width="15.5703125" customWidth="1"/>
    <col min="6666" max="6666" width="6.140625" customWidth="1"/>
    <col min="6667" max="6667" width="14.7109375" customWidth="1"/>
    <col min="6668" max="6668" width="16.140625" customWidth="1"/>
    <col min="6669" max="6669" width="14.7109375" customWidth="1"/>
    <col min="6670" max="6670" width="4.85546875" customWidth="1"/>
    <col min="6671" max="6671" width="18.5703125" customWidth="1"/>
    <col min="6913" max="6913" width="33.140625" customWidth="1"/>
    <col min="6914" max="6914" width="11" customWidth="1"/>
    <col min="6915" max="6915" width="16.85546875" customWidth="1"/>
    <col min="6916" max="6916" width="16.7109375" customWidth="1"/>
    <col min="6917" max="6917" width="14.7109375" customWidth="1"/>
    <col min="6918" max="6918" width="4.85546875" customWidth="1"/>
    <col min="6919" max="6919" width="14.7109375" customWidth="1"/>
    <col min="6920" max="6920" width="18.28515625" customWidth="1"/>
    <col min="6921" max="6921" width="15.5703125" customWidth="1"/>
    <col min="6922" max="6922" width="6.140625" customWidth="1"/>
    <col min="6923" max="6923" width="14.7109375" customWidth="1"/>
    <col min="6924" max="6924" width="16.140625" customWidth="1"/>
    <col min="6925" max="6925" width="14.7109375" customWidth="1"/>
    <col min="6926" max="6926" width="4.85546875" customWidth="1"/>
    <col min="6927" max="6927" width="18.5703125" customWidth="1"/>
    <col min="7169" max="7169" width="33.140625" customWidth="1"/>
    <col min="7170" max="7170" width="11" customWidth="1"/>
    <col min="7171" max="7171" width="16.85546875" customWidth="1"/>
    <col min="7172" max="7172" width="16.7109375" customWidth="1"/>
    <col min="7173" max="7173" width="14.7109375" customWidth="1"/>
    <col min="7174" max="7174" width="4.85546875" customWidth="1"/>
    <col min="7175" max="7175" width="14.7109375" customWidth="1"/>
    <col min="7176" max="7176" width="18.28515625" customWidth="1"/>
    <col min="7177" max="7177" width="15.5703125" customWidth="1"/>
    <col min="7178" max="7178" width="6.140625" customWidth="1"/>
    <col min="7179" max="7179" width="14.7109375" customWidth="1"/>
    <col min="7180" max="7180" width="16.140625" customWidth="1"/>
    <col min="7181" max="7181" width="14.7109375" customWidth="1"/>
    <col min="7182" max="7182" width="4.85546875" customWidth="1"/>
    <col min="7183" max="7183" width="18.5703125" customWidth="1"/>
    <col min="7425" max="7425" width="33.140625" customWidth="1"/>
    <col min="7426" max="7426" width="11" customWidth="1"/>
    <col min="7427" max="7427" width="16.85546875" customWidth="1"/>
    <col min="7428" max="7428" width="16.7109375" customWidth="1"/>
    <col min="7429" max="7429" width="14.7109375" customWidth="1"/>
    <col min="7430" max="7430" width="4.85546875" customWidth="1"/>
    <col min="7431" max="7431" width="14.7109375" customWidth="1"/>
    <col min="7432" max="7432" width="18.28515625" customWidth="1"/>
    <col min="7433" max="7433" width="15.5703125" customWidth="1"/>
    <col min="7434" max="7434" width="6.140625" customWidth="1"/>
    <col min="7435" max="7435" width="14.7109375" customWidth="1"/>
    <col min="7436" max="7436" width="16.140625" customWidth="1"/>
    <col min="7437" max="7437" width="14.7109375" customWidth="1"/>
    <col min="7438" max="7438" width="4.85546875" customWidth="1"/>
    <col min="7439" max="7439" width="18.5703125" customWidth="1"/>
    <col min="7681" max="7681" width="33.140625" customWidth="1"/>
    <col min="7682" max="7682" width="11" customWidth="1"/>
    <col min="7683" max="7683" width="16.85546875" customWidth="1"/>
    <col min="7684" max="7684" width="16.7109375" customWidth="1"/>
    <col min="7685" max="7685" width="14.7109375" customWidth="1"/>
    <col min="7686" max="7686" width="4.85546875" customWidth="1"/>
    <col min="7687" max="7687" width="14.7109375" customWidth="1"/>
    <col min="7688" max="7688" width="18.28515625" customWidth="1"/>
    <col min="7689" max="7689" width="15.5703125" customWidth="1"/>
    <col min="7690" max="7690" width="6.140625" customWidth="1"/>
    <col min="7691" max="7691" width="14.7109375" customWidth="1"/>
    <col min="7692" max="7692" width="16.140625" customWidth="1"/>
    <col min="7693" max="7693" width="14.7109375" customWidth="1"/>
    <col min="7694" max="7694" width="4.85546875" customWidth="1"/>
    <col min="7695" max="7695" width="18.5703125" customWidth="1"/>
    <col min="7937" max="7937" width="33.140625" customWidth="1"/>
    <col min="7938" max="7938" width="11" customWidth="1"/>
    <col min="7939" max="7939" width="16.85546875" customWidth="1"/>
    <col min="7940" max="7940" width="16.7109375" customWidth="1"/>
    <col min="7941" max="7941" width="14.7109375" customWidth="1"/>
    <col min="7942" max="7942" width="4.85546875" customWidth="1"/>
    <col min="7943" max="7943" width="14.7109375" customWidth="1"/>
    <col min="7944" max="7944" width="18.28515625" customWidth="1"/>
    <col min="7945" max="7945" width="15.5703125" customWidth="1"/>
    <col min="7946" max="7946" width="6.140625" customWidth="1"/>
    <col min="7947" max="7947" width="14.7109375" customWidth="1"/>
    <col min="7948" max="7948" width="16.140625" customWidth="1"/>
    <col min="7949" max="7949" width="14.7109375" customWidth="1"/>
    <col min="7950" max="7950" width="4.85546875" customWidth="1"/>
    <col min="7951" max="7951" width="18.5703125" customWidth="1"/>
    <col min="8193" max="8193" width="33.140625" customWidth="1"/>
    <col min="8194" max="8194" width="11" customWidth="1"/>
    <col min="8195" max="8195" width="16.85546875" customWidth="1"/>
    <col min="8196" max="8196" width="16.7109375" customWidth="1"/>
    <col min="8197" max="8197" width="14.7109375" customWidth="1"/>
    <col min="8198" max="8198" width="4.85546875" customWidth="1"/>
    <col min="8199" max="8199" width="14.7109375" customWidth="1"/>
    <col min="8200" max="8200" width="18.28515625" customWidth="1"/>
    <col min="8201" max="8201" width="15.5703125" customWidth="1"/>
    <col min="8202" max="8202" width="6.140625" customWidth="1"/>
    <col min="8203" max="8203" width="14.7109375" customWidth="1"/>
    <col min="8204" max="8204" width="16.140625" customWidth="1"/>
    <col min="8205" max="8205" width="14.7109375" customWidth="1"/>
    <col min="8206" max="8206" width="4.85546875" customWidth="1"/>
    <col min="8207" max="8207" width="18.5703125" customWidth="1"/>
    <col min="8449" max="8449" width="33.140625" customWidth="1"/>
    <col min="8450" max="8450" width="11" customWidth="1"/>
    <col min="8451" max="8451" width="16.85546875" customWidth="1"/>
    <col min="8452" max="8452" width="16.7109375" customWidth="1"/>
    <col min="8453" max="8453" width="14.7109375" customWidth="1"/>
    <col min="8454" max="8454" width="4.85546875" customWidth="1"/>
    <col min="8455" max="8455" width="14.7109375" customWidth="1"/>
    <col min="8456" max="8456" width="18.28515625" customWidth="1"/>
    <col min="8457" max="8457" width="15.5703125" customWidth="1"/>
    <col min="8458" max="8458" width="6.140625" customWidth="1"/>
    <col min="8459" max="8459" width="14.7109375" customWidth="1"/>
    <col min="8460" max="8460" width="16.140625" customWidth="1"/>
    <col min="8461" max="8461" width="14.7109375" customWidth="1"/>
    <col min="8462" max="8462" width="4.85546875" customWidth="1"/>
    <col min="8463" max="8463" width="18.5703125" customWidth="1"/>
    <col min="8705" max="8705" width="33.140625" customWidth="1"/>
    <col min="8706" max="8706" width="11" customWidth="1"/>
    <col min="8707" max="8707" width="16.85546875" customWidth="1"/>
    <col min="8708" max="8708" width="16.7109375" customWidth="1"/>
    <col min="8709" max="8709" width="14.7109375" customWidth="1"/>
    <col min="8710" max="8710" width="4.85546875" customWidth="1"/>
    <col min="8711" max="8711" width="14.7109375" customWidth="1"/>
    <col min="8712" max="8712" width="18.28515625" customWidth="1"/>
    <col min="8713" max="8713" width="15.5703125" customWidth="1"/>
    <col min="8714" max="8714" width="6.140625" customWidth="1"/>
    <col min="8715" max="8715" width="14.7109375" customWidth="1"/>
    <col min="8716" max="8716" width="16.140625" customWidth="1"/>
    <col min="8717" max="8717" width="14.7109375" customWidth="1"/>
    <col min="8718" max="8718" width="4.85546875" customWidth="1"/>
    <col min="8719" max="8719" width="18.5703125" customWidth="1"/>
    <col min="8961" max="8961" width="33.140625" customWidth="1"/>
    <col min="8962" max="8962" width="11" customWidth="1"/>
    <col min="8963" max="8963" width="16.85546875" customWidth="1"/>
    <col min="8964" max="8964" width="16.7109375" customWidth="1"/>
    <col min="8965" max="8965" width="14.7109375" customWidth="1"/>
    <col min="8966" max="8966" width="4.85546875" customWidth="1"/>
    <col min="8967" max="8967" width="14.7109375" customWidth="1"/>
    <col min="8968" max="8968" width="18.28515625" customWidth="1"/>
    <col min="8969" max="8969" width="15.5703125" customWidth="1"/>
    <col min="8970" max="8970" width="6.140625" customWidth="1"/>
    <col min="8971" max="8971" width="14.7109375" customWidth="1"/>
    <col min="8972" max="8972" width="16.140625" customWidth="1"/>
    <col min="8973" max="8973" width="14.7109375" customWidth="1"/>
    <col min="8974" max="8974" width="4.85546875" customWidth="1"/>
    <col min="8975" max="8975" width="18.5703125" customWidth="1"/>
    <col min="9217" max="9217" width="33.140625" customWidth="1"/>
    <col min="9218" max="9218" width="11" customWidth="1"/>
    <col min="9219" max="9219" width="16.85546875" customWidth="1"/>
    <col min="9220" max="9220" width="16.7109375" customWidth="1"/>
    <col min="9221" max="9221" width="14.7109375" customWidth="1"/>
    <col min="9222" max="9222" width="4.85546875" customWidth="1"/>
    <col min="9223" max="9223" width="14.7109375" customWidth="1"/>
    <col min="9224" max="9224" width="18.28515625" customWidth="1"/>
    <col min="9225" max="9225" width="15.5703125" customWidth="1"/>
    <col min="9226" max="9226" width="6.140625" customWidth="1"/>
    <col min="9227" max="9227" width="14.7109375" customWidth="1"/>
    <col min="9228" max="9228" width="16.140625" customWidth="1"/>
    <col min="9229" max="9229" width="14.7109375" customWidth="1"/>
    <col min="9230" max="9230" width="4.85546875" customWidth="1"/>
    <col min="9231" max="9231" width="18.5703125" customWidth="1"/>
    <col min="9473" max="9473" width="33.140625" customWidth="1"/>
    <col min="9474" max="9474" width="11" customWidth="1"/>
    <col min="9475" max="9475" width="16.85546875" customWidth="1"/>
    <col min="9476" max="9476" width="16.7109375" customWidth="1"/>
    <col min="9477" max="9477" width="14.7109375" customWidth="1"/>
    <col min="9478" max="9478" width="4.85546875" customWidth="1"/>
    <col min="9479" max="9479" width="14.7109375" customWidth="1"/>
    <col min="9480" max="9480" width="18.28515625" customWidth="1"/>
    <col min="9481" max="9481" width="15.5703125" customWidth="1"/>
    <col min="9482" max="9482" width="6.140625" customWidth="1"/>
    <col min="9483" max="9483" width="14.7109375" customWidth="1"/>
    <col min="9484" max="9484" width="16.140625" customWidth="1"/>
    <col min="9485" max="9485" width="14.7109375" customWidth="1"/>
    <col min="9486" max="9486" width="4.85546875" customWidth="1"/>
    <col min="9487" max="9487" width="18.5703125" customWidth="1"/>
    <col min="9729" max="9729" width="33.140625" customWidth="1"/>
    <col min="9730" max="9730" width="11" customWidth="1"/>
    <col min="9731" max="9731" width="16.85546875" customWidth="1"/>
    <col min="9732" max="9732" width="16.7109375" customWidth="1"/>
    <col min="9733" max="9733" width="14.7109375" customWidth="1"/>
    <col min="9734" max="9734" width="4.85546875" customWidth="1"/>
    <col min="9735" max="9735" width="14.7109375" customWidth="1"/>
    <col min="9736" max="9736" width="18.28515625" customWidth="1"/>
    <col min="9737" max="9737" width="15.5703125" customWidth="1"/>
    <col min="9738" max="9738" width="6.140625" customWidth="1"/>
    <col min="9739" max="9739" width="14.7109375" customWidth="1"/>
    <col min="9740" max="9740" width="16.140625" customWidth="1"/>
    <col min="9741" max="9741" width="14.7109375" customWidth="1"/>
    <col min="9742" max="9742" width="4.85546875" customWidth="1"/>
    <col min="9743" max="9743" width="18.5703125" customWidth="1"/>
    <col min="9985" max="9985" width="33.140625" customWidth="1"/>
    <col min="9986" max="9986" width="11" customWidth="1"/>
    <col min="9987" max="9987" width="16.85546875" customWidth="1"/>
    <col min="9988" max="9988" width="16.7109375" customWidth="1"/>
    <col min="9989" max="9989" width="14.7109375" customWidth="1"/>
    <col min="9990" max="9990" width="4.85546875" customWidth="1"/>
    <col min="9991" max="9991" width="14.7109375" customWidth="1"/>
    <col min="9992" max="9992" width="18.28515625" customWidth="1"/>
    <col min="9993" max="9993" width="15.5703125" customWidth="1"/>
    <col min="9994" max="9994" width="6.140625" customWidth="1"/>
    <col min="9995" max="9995" width="14.7109375" customWidth="1"/>
    <col min="9996" max="9996" width="16.140625" customWidth="1"/>
    <col min="9997" max="9997" width="14.7109375" customWidth="1"/>
    <col min="9998" max="9998" width="4.85546875" customWidth="1"/>
    <col min="9999" max="9999" width="18.5703125" customWidth="1"/>
    <col min="10241" max="10241" width="33.140625" customWidth="1"/>
    <col min="10242" max="10242" width="11" customWidth="1"/>
    <col min="10243" max="10243" width="16.85546875" customWidth="1"/>
    <col min="10244" max="10244" width="16.7109375" customWidth="1"/>
    <col min="10245" max="10245" width="14.7109375" customWidth="1"/>
    <col min="10246" max="10246" width="4.85546875" customWidth="1"/>
    <col min="10247" max="10247" width="14.7109375" customWidth="1"/>
    <col min="10248" max="10248" width="18.28515625" customWidth="1"/>
    <col min="10249" max="10249" width="15.5703125" customWidth="1"/>
    <col min="10250" max="10250" width="6.140625" customWidth="1"/>
    <col min="10251" max="10251" width="14.7109375" customWidth="1"/>
    <col min="10252" max="10252" width="16.140625" customWidth="1"/>
    <col min="10253" max="10253" width="14.7109375" customWidth="1"/>
    <col min="10254" max="10254" width="4.85546875" customWidth="1"/>
    <col min="10255" max="10255" width="18.5703125" customWidth="1"/>
    <col min="10497" max="10497" width="33.140625" customWidth="1"/>
    <col min="10498" max="10498" width="11" customWidth="1"/>
    <col min="10499" max="10499" width="16.85546875" customWidth="1"/>
    <col min="10500" max="10500" width="16.7109375" customWidth="1"/>
    <col min="10501" max="10501" width="14.7109375" customWidth="1"/>
    <col min="10502" max="10502" width="4.85546875" customWidth="1"/>
    <col min="10503" max="10503" width="14.7109375" customWidth="1"/>
    <col min="10504" max="10504" width="18.28515625" customWidth="1"/>
    <col min="10505" max="10505" width="15.5703125" customWidth="1"/>
    <col min="10506" max="10506" width="6.140625" customWidth="1"/>
    <col min="10507" max="10507" width="14.7109375" customWidth="1"/>
    <col min="10508" max="10508" width="16.140625" customWidth="1"/>
    <col min="10509" max="10509" width="14.7109375" customWidth="1"/>
    <col min="10510" max="10510" width="4.85546875" customWidth="1"/>
    <col min="10511" max="10511" width="18.5703125" customWidth="1"/>
    <col min="10753" max="10753" width="33.140625" customWidth="1"/>
    <col min="10754" max="10754" width="11" customWidth="1"/>
    <col min="10755" max="10755" width="16.85546875" customWidth="1"/>
    <col min="10756" max="10756" width="16.7109375" customWidth="1"/>
    <col min="10757" max="10757" width="14.7109375" customWidth="1"/>
    <col min="10758" max="10758" width="4.85546875" customWidth="1"/>
    <col min="10759" max="10759" width="14.7109375" customWidth="1"/>
    <col min="10760" max="10760" width="18.28515625" customWidth="1"/>
    <col min="10761" max="10761" width="15.5703125" customWidth="1"/>
    <col min="10762" max="10762" width="6.140625" customWidth="1"/>
    <col min="10763" max="10763" width="14.7109375" customWidth="1"/>
    <col min="10764" max="10764" width="16.140625" customWidth="1"/>
    <col min="10765" max="10765" width="14.7109375" customWidth="1"/>
    <col min="10766" max="10766" width="4.85546875" customWidth="1"/>
    <col min="10767" max="10767" width="18.5703125" customWidth="1"/>
    <col min="11009" max="11009" width="33.140625" customWidth="1"/>
    <col min="11010" max="11010" width="11" customWidth="1"/>
    <col min="11011" max="11011" width="16.85546875" customWidth="1"/>
    <col min="11012" max="11012" width="16.7109375" customWidth="1"/>
    <col min="11013" max="11013" width="14.7109375" customWidth="1"/>
    <col min="11014" max="11014" width="4.85546875" customWidth="1"/>
    <col min="11015" max="11015" width="14.7109375" customWidth="1"/>
    <col min="11016" max="11016" width="18.28515625" customWidth="1"/>
    <col min="11017" max="11017" width="15.5703125" customWidth="1"/>
    <col min="11018" max="11018" width="6.140625" customWidth="1"/>
    <col min="11019" max="11019" width="14.7109375" customWidth="1"/>
    <col min="11020" max="11020" width="16.140625" customWidth="1"/>
    <col min="11021" max="11021" width="14.7109375" customWidth="1"/>
    <col min="11022" max="11022" width="4.85546875" customWidth="1"/>
    <col min="11023" max="11023" width="18.5703125" customWidth="1"/>
    <col min="11265" max="11265" width="33.140625" customWidth="1"/>
    <col min="11266" max="11266" width="11" customWidth="1"/>
    <col min="11267" max="11267" width="16.85546875" customWidth="1"/>
    <col min="11268" max="11268" width="16.7109375" customWidth="1"/>
    <col min="11269" max="11269" width="14.7109375" customWidth="1"/>
    <col min="11270" max="11270" width="4.85546875" customWidth="1"/>
    <col min="11271" max="11271" width="14.7109375" customWidth="1"/>
    <col min="11272" max="11272" width="18.28515625" customWidth="1"/>
    <col min="11273" max="11273" width="15.5703125" customWidth="1"/>
    <col min="11274" max="11274" width="6.140625" customWidth="1"/>
    <col min="11275" max="11275" width="14.7109375" customWidth="1"/>
    <col min="11276" max="11276" width="16.140625" customWidth="1"/>
    <col min="11277" max="11277" width="14.7109375" customWidth="1"/>
    <col min="11278" max="11278" width="4.85546875" customWidth="1"/>
    <col min="11279" max="11279" width="18.5703125" customWidth="1"/>
    <col min="11521" max="11521" width="33.140625" customWidth="1"/>
    <col min="11522" max="11522" width="11" customWidth="1"/>
    <col min="11523" max="11523" width="16.85546875" customWidth="1"/>
    <col min="11524" max="11524" width="16.7109375" customWidth="1"/>
    <col min="11525" max="11525" width="14.7109375" customWidth="1"/>
    <col min="11526" max="11526" width="4.85546875" customWidth="1"/>
    <col min="11527" max="11527" width="14.7109375" customWidth="1"/>
    <col min="11528" max="11528" width="18.28515625" customWidth="1"/>
    <col min="11529" max="11529" width="15.5703125" customWidth="1"/>
    <col min="11530" max="11530" width="6.140625" customWidth="1"/>
    <col min="11531" max="11531" width="14.7109375" customWidth="1"/>
    <col min="11532" max="11532" width="16.140625" customWidth="1"/>
    <col min="11533" max="11533" width="14.7109375" customWidth="1"/>
    <col min="11534" max="11534" width="4.85546875" customWidth="1"/>
    <col min="11535" max="11535" width="18.5703125" customWidth="1"/>
    <col min="11777" max="11777" width="33.140625" customWidth="1"/>
    <col min="11778" max="11778" width="11" customWidth="1"/>
    <col min="11779" max="11779" width="16.85546875" customWidth="1"/>
    <col min="11780" max="11780" width="16.7109375" customWidth="1"/>
    <col min="11781" max="11781" width="14.7109375" customWidth="1"/>
    <col min="11782" max="11782" width="4.85546875" customWidth="1"/>
    <col min="11783" max="11783" width="14.7109375" customWidth="1"/>
    <col min="11784" max="11784" width="18.28515625" customWidth="1"/>
    <col min="11785" max="11785" width="15.5703125" customWidth="1"/>
    <col min="11786" max="11786" width="6.140625" customWidth="1"/>
    <col min="11787" max="11787" width="14.7109375" customWidth="1"/>
    <col min="11788" max="11788" width="16.140625" customWidth="1"/>
    <col min="11789" max="11789" width="14.7109375" customWidth="1"/>
    <col min="11790" max="11790" width="4.85546875" customWidth="1"/>
    <col min="11791" max="11791" width="18.5703125" customWidth="1"/>
    <col min="12033" max="12033" width="33.140625" customWidth="1"/>
    <col min="12034" max="12034" width="11" customWidth="1"/>
    <col min="12035" max="12035" width="16.85546875" customWidth="1"/>
    <col min="12036" max="12036" width="16.7109375" customWidth="1"/>
    <col min="12037" max="12037" width="14.7109375" customWidth="1"/>
    <col min="12038" max="12038" width="4.85546875" customWidth="1"/>
    <col min="12039" max="12039" width="14.7109375" customWidth="1"/>
    <col min="12040" max="12040" width="18.28515625" customWidth="1"/>
    <col min="12041" max="12041" width="15.5703125" customWidth="1"/>
    <col min="12042" max="12042" width="6.140625" customWidth="1"/>
    <col min="12043" max="12043" width="14.7109375" customWidth="1"/>
    <col min="12044" max="12044" width="16.140625" customWidth="1"/>
    <col min="12045" max="12045" width="14.7109375" customWidth="1"/>
    <col min="12046" max="12046" width="4.85546875" customWidth="1"/>
    <col min="12047" max="12047" width="18.5703125" customWidth="1"/>
    <col min="12289" max="12289" width="33.140625" customWidth="1"/>
    <col min="12290" max="12290" width="11" customWidth="1"/>
    <col min="12291" max="12291" width="16.85546875" customWidth="1"/>
    <col min="12292" max="12292" width="16.7109375" customWidth="1"/>
    <col min="12293" max="12293" width="14.7109375" customWidth="1"/>
    <col min="12294" max="12294" width="4.85546875" customWidth="1"/>
    <col min="12295" max="12295" width="14.7109375" customWidth="1"/>
    <col min="12296" max="12296" width="18.28515625" customWidth="1"/>
    <col min="12297" max="12297" width="15.5703125" customWidth="1"/>
    <col min="12298" max="12298" width="6.140625" customWidth="1"/>
    <col min="12299" max="12299" width="14.7109375" customWidth="1"/>
    <col min="12300" max="12300" width="16.140625" customWidth="1"/>
    <col min="12301" max="12301" width="14.7109375" customWidth="1"/>
    <col min="12302" max="12302" width="4.85546875" customWidth="1"/>
    <col min="12303" max="12303" width="18.5703125" customWidth="1"/>
    <col min="12545" max="12545" width="33.140625" customWidth="1"/>
    <col min="12546" max="12546" width="11" customWidth="1"/>
    <col min="12547" max="12547" width="16.85546875" customWidth="1"/>
    <col min="12548" max="12548" width="16.7109375" customWidth="1"/>
    <col min="12549" max="12549" width="14.7109375" customWidth="1"/>
    <col min="12550" max="12550" width="4.85546875" customWidth="1"/>
    <col min="12551" max="12551" width="14.7109375" customWidth="1"/>
    <col min="12552" max="12552" width="18.28515625" customWidth="1"/>
    <col min="12553" max="12553" width="15.5703125" customWidth="1"/>
    <col min="12554" max="12554" width="6.140625" customWidth="1"/>
    <col min="12555" max="12555" width="14.7109375" customWidth="1"/>
    <col min="12556" max="12556" width="16.140625" customWidth="1"/>
    <col min="12557" max="12557" width="14.7109375" customWidth="1"/>
    <col min="12558" max="12558" width="4.85546875" customWidth="1"/>
    <col min="12559" max="12559" width="18.5703125" customWidth="1"/>
    <col min="12801" max="12801" width="33.140625" customWidth="1"/>
    <col min="12802" max="12802" width="11" customWidth="1"/>
    <col min="12803" max="12803" width="16.85546875" customWidth="1"/>
    <col min="12804" max="12804" width="16.7109375" customWidth="1"/>
    <col min="12805" max="12805" width="14.7109375" customWidth="1"/>
    <col min="12806" max="12806" width="4.85546875" customWidth="1"/>
    <col min="12807" max="12807" width="14.7109375" customWidth="1"/>
    <col min="12808" max="12808" width="18.28515625" customWidth="1"/>
    <col min="12809" max="12809" width="15.5703125" customWidth="1"/>
    <col min="12810" max="12810" width="6.140625" customWidth="1"/>
    <col min="12811" max="12811" width="14.7109375" customWidth="1"/>
    <col min="12812" max="12812" width="16.140625" customWidth="1"/>
    <col min="12813" max="12813" width="14.7109375" customWidth="1"/>
    <col min="12814" max="12814" width="4.85546875" customWidth="1"/>
    <col min="12815" max="12815" width="18.5703125" customWidth="1"/>
    <col min="13057" max="13057" width="33.140625" customWidth="1"/>
    <col min="13058" max="13058" width="11" customWidth="1"/>
    <col min="13059" max="13059" width="16.85546875" customWidth="1"/>
    <col min="13060" max="13060" width="16.7109375" customWidth="1"/>
    <col min="13061" max="13061" width="14.7109375" customWidth="1"/>
    <col min="13062" max="13062" width="4.85546875" customWidth="1"/>
    <col min="13063" max="13063" width="14.7109375" customWidth="1"/>
    <col min="13064" max="13064" width="18.28515625" customWidth="1"/>
    <col min="13065" max="13065" width="15.5703125" customWidth="1"/>
    <col min="13066" max="13066" width="6.140625" customWidth="1"/>
    <col min="13067" max="13067" width="14.7109375" customWidth="1"/>
    <col min="13068" max="13068" width="16.140625" customWidth="1"/>
    <col min="13069" max="13069" width="14.7109375" customWidth="1"/>
    <col min="13070" max="13070" width="4.85546875" customWidth="1"/>
    <col min="13071" max="13071" width="18.5703125" customWidth="1"/>
    <col min="13313" max="13313" width="33.140625" customWidth="1"/>
    <col min="13314" max="13314" width="11" customWidth="1"/>
    <col min="13315" max="13315" width="16.85546875" customWidth="1"/>
    <col min="13316" max="13316" width="16.7109375" customWidth="1"/>
    <col min="13317" max="13317" width="14.7109375" customWidth="1"/>
    <col min="13318" max="13318" width="4.85546875" customWidth="1"/>
    <col min="13319" max="13319" width="14.7109375" customWidth="1"/>
    <col min="13320" max="13320" width="18.28515625" customWidth="1"/>
    <col min="13321" max="13321" width="15.5703125" customWidth="1"/>
    <col min="13322" max="13322" width="6.140625" customWidth="1"/>
    <col min="13323" max="13323" width="14.7109375" customWidth="1"/>
    <col min="13324" max="13324" width="16.140625" customWidth="1"/>
    <col min="13325" max="13325" width="14.7109375" customWidth="1"/>
    <col min="13326" max="13326" width="4.85546875" customWidth="1"/>
    <col min="13327" max="13327" width="18.5703125" customWidth="1"/>
    <col min="13569" max="13569" width="33.140625" customWidth="1"/>
    <col min="13570" max="13570" width="11" customWidth="1"/>
    <col min="13571" max="13571" width="16.85546875" customWidth="1"/>
    <col min="13572" max="13572" width="16.7109375" customWidth="1"/>
    <col min="13573" max="13573" width="14.7109375" customWidth="1"/>
    <col min="13574" max="13574" width="4.85546875" customWidth="1"/>
    <col min="13575" max="13575" width="14.7109375" customWidth="1"/>
    <col min="13576" max="13576" width="18.28515625" customWidth="1"/>
    <col min="13577" max="13577" width="15.5703125" customWidth="1"/>
    <col min="13578" max="13578" width="6.140625" customWidth="1"/>
    <col min="13579" max="13579" width="14.7109375" customWidth="1"/>
    <col min="13580" max="13580" width="16.140625" customWidth="1"/>
    <col min="13581" max="13581" width="14.7109375" customWidth="1"/>
    <col min="13582" max="13582" width="4.85546875" customWidth="1"/>
    <col min="13583" max="13583" width="18.5703125" customWidth="1"/>
    <col min="13825" max="13825" width="33.140625" customWidth="1"/>
    <col min="13826" max="13826" width="11" customWidth="1"/>
    <col min="13827" max="13827" width="16.85546875" customWidth="1"/>
    <col min="13828" max="13828" width="16.7109375" customWidth="1"/>
    <col min="13829" max="13829" width="14.7109375" customWidth="1"/>
    <col min="13830" max="13830" width="4.85546875" customWidth="1"/>
    <col min="13831" max="13831" width="14.7109375" customWidth="1"/>
    <col min="13832" max="13832" width="18.28515625" customWidth="1"/>
    <col min="13833" max="13833" width="15.5703125" customWidth="1"/>
    <col min="13834" max="13834" width="6.140625" customWidth="1"/>
    <col min="13835" max="13835" width="14.7109375" customWidth="1"/>
    <col min="13836" max="13836" width="16.140625" customWidth="1"/>
    <col min="13837" max="13837" width="14.7109375" customWidth="1"/>
    <col min="13838" max="13838" width="4.85546875" customWidth="1"/>
    <col min="13839" max="13839" width="18.5703125" customWidth="1"/>
    <col min="14081" max="14081" width="33.140625" customWidth="1"/>
    <col min="14082" max="14082" width="11" customWidth="1"/>
    <col min="14083" max="14083" width="16.85546875" customWidth="1"/>
    <col min="14084" max="14084" width="16.7109375" customWidth="1"/>
    <col min="14085" max="14085" width="14.7109375" customWidth="1"/>
    <col min="14086" max="14086" width="4.85546875" customWidth="1"/>
    <col min="14087" max="14087" width="14.7109375" customWidth="1"/>
    <col min="14088" max="14088" width="18.28515625" customWidth="1"/>
    <col min="14089" max="14089" width="15.5703125" customWidth="1"/>
    <col min="14090" max="14090" width="6.140625" customWidth="1"/>
    <col min="14091" max="14091" width="14.7109375" customWidth="1"/>
    <col min="14092" max="14092" width="16.140625" customWidth="1"/>
    <col min="14093" max="14093" width="14.7109375" customWidth="1"/>
    <col min="14094" max="14094" width="4.85546875" customWidth="1"/>
    <col min="14095" max="14095" width="18.5703125" customWidth="1"/>
    <col min="14337" max="14337" width="33.140625" customWidth="1"/>
    <col min="14338" max="14338" width="11" customWidth="1"/>
    <col min="14339" max="14339" width="16.85546875" customWidth="1"/>
    <col min="14340" max="14340" width="16.7109375" customWidth="1"/>
    <col min="14341" max="14341" width="14.7109375" customWidth="1"/>
    <col min="14342" max="14342" width="4.85546875" customWidth="1"/>
    <col min="14343" max="14343" width="14.7109375" customWidth="1"/>
    <col min="14344" max="14344" width="18.28515625" customWidth="1"/>
    <col min="14345" max="14345" width="15.5703125" customWidth="1"/>
    <col min="14346" max="14346" width="6.140625" customWidth="1"/>
    <col min="14347" max="14347" width="14.7109375" customWidth="1"/>
    <col min="14348" max="14348" width="16.140625" customWidth="1"/>
    <col min="14349" max="14349" width="14.7109375" customWidth="1"/>
    <col min="14350" max="14350" width="4.85546875" customWidth="1"/>
    <col min="14351" max="14351" width="18.5703125" customWidth="1"/>
    <col min="14593" max="14593" width="33.140625" customWidth="1"/>
    <col min="14594" max="14594" width="11" customWidth="1"/>
    <col min="14595" max="14595" width="16.85546875" customWidth="1"/>
    <col min="14596" max="14596" width="16.7109375" customWidth="1"/>
    <col min="14597" max="14597" width="14.7109375" customWidth="1"/>
    <col min="14598" max="14598" width="4.85546875" customWidth="1"/>
    <col min="14599" max="14599" width="14.7109375" customWidth="1"/>
    <col min="14600" max="14600" width="18.28515625" customWidth="1"/>
    <col min="14601" max="14601" width="15.5703125" customWidth="1"/>
    <col min="14602" max="14602" width="6.140625" customWidth="1"/>
    <col min="14603" max="14603" width="14.7109375" customWidth="1"/>
    <col min="14604" max="14604" width="16.140625" customWidth="1"/>
    <col min="14605" max="14605" width="14.7109375" customWidth="1"/>
    <col min="14606" max="14606" width="4.85546875" customWidth="1"/>
    <col min="14607" max="14607" width="18.5703125" customWidth="1"/>
    <col min="14849" max="14849" width="33.140625" customWidth="1"/>
    <col min="14850" max="14850" width="11" customWidth="1"/>
    <col min="14851" max="14851" width="16.85546875" customWidth="1"/>
    <col min="14852" max="14852" width="16.7109375" customWidth="1"/>
    <col min="14853" max="14853" width="14.7109375" customWidth="1"/>
    <col min="14854" max="14854" width="4.85546875" customWidth="1"/>
    <col min="14855" max="14855" width="14.7109375" customWidth="1"/>
    <col min="14856" max="14856" width="18.28515625" customWidth="1"/>
    <col min="14857" max="14857" width="15.5703125" customWidth="1"/>
    <col min="14858" max="14858" width="6.140625" customWidth="1"/>
    <col min="14859" max="14859" width="14.7109375" customWidth="1"/>
    <col min="14860" max="14860" width="16.140625" customWidth="1"/>
    <col min="14861" max="14861" width="14.7109375" customWidth="1"/>
    <col min="14862" max="14862" width="4.85546875" customWidth="1"/>
    <col min="14863" max="14863" width="18.5703125" customWidth="1"/>
    <col min="15105" max="15105" width="33.140625" customWidth="1"/>
    <col min="15106" max="15106" width="11" customWidth="1"/>
    <col min="15107" max="15107" width="16.85546875" customWidth="1"/>
    <col min="15108" max="15108" width="16.7109375" customWidth="1"/>
    <col min="15109" max="15109" width="14.7109375" customWidth="1"/>
    <col min="15110" max="15110" width="4.85546875" customWidth="1"/>
    <col min="15111" max="15111" width="14.7109375" customWidth="1"/>
    <col min="15112" max="15112" width="18.28515625" customWidth="1"/>
    <col min="15113" max="15113" width="15.5703125" customWidth="1"/>
    <col min="15114" max="15114" width="6.140625" customWidth="1"/>
    <col min="15115" max="15115" width="14.7109375" customWidth="1"/>
    <col min="15116" max="15116" width="16.140625" customWidth="1"/>
    <col min="15117" max="15117" width="14.7109375" customWidth="1"/>
    <col min="15118" max="15118" width="4.85546875" customWidth="1"/>
    <col min="15119" max="15119" width="18.5703125" customWidth="1"/>
    <col min="15361" max="15361" width="33.140625" customWidth="1"/>
    <col min="15362" max="15362" width="11" customWidth="1"/>
    <col min="15363" max="15363" width="16.85546875" customWidth="1"/>
    <col min="15364" max="15364" width="16.7109375" customWidth="1"/>
    <col min="15365" max="15365" width="14.7109375" customWidth="1"/>
    <col min="15366" max="15366" width="4.85546875" customWidth="1"/>
    <col min="15367" max="15367" width="14.7109375" customWidth="1"/>
    <col min="15368" max="15368" width="18.28515625" customWidth="1"/>
    <col min="15369" max="15369" width="15.5703125" customWidth="1"/>
    <col min="15370" max="15370" width="6.140625" customWidth="1"/>
    <col min="15371" max="15371" width="14.7109375" customWidth="1"/>
    <col min="15372" max="15372" width="16.140625" customWidth="1"/>
    <col min="15373" max="15373" width="14.7109375" customWidth="1"/>
    <col min="15374" max="15374" width="4.85546875" customWidth="1"/>
    <col min="15375" max="15375" width="18.5703125" customWidth="1"/>
    <col min="15617" max="15617" width="33.140625" customWidth="1"/>
    <col min="15618" max="15618" width="11" customWidth="1"/>
    <col min="15619" max="15619" width="16.85546875" customWidth="1"/>
    <col min="15620" max="15620" width="16.7109375" customWidth="1"/>
    <col min="15621" max="15621" width="14.7109375" customWidth="1"/>
    <col min="15622" max="15622" width="4.85546875" customWidth="1"/>
    <col min="15623" max="15623" width="14.7109375" customWidth="1"/>
    <col min="15624" max="15624" width="18.28515625" customWidth="1"/>
    <col min="15625" max="15625" width="15.5703125" customWidth="1"/>
    <col min="15626" max="15626" width="6.140625" customWidth="1"/>
    <col min="15627" max="15627" width="14.7109375" customWidth="1"/>
    <col min="15628" max="15628" width="16.140625" customWidth="1"/>
    <col min="15629" max="15629" width="14.7109375" customWidth="1"/>
    <col min="15630" max="15630" width="4.85546875" customWidth="1"/>
    <col min="15631" max="15631" width="18.5703125" customWidth="1"/>
    <col min="15873" max="15873" width="33.140625" customWidth="1"/>
    <col min="15874" max="15874" width="11" customWidth="1"/>
    <col min="15875" max="15875" width="16.85546875" customWidth="1"/>
    <col min="15876" max="15876" width="16.7109375" customWidth="1"/>
    <col min="15877" max="15877" width="14.7109375" customWidth="1"/>
    <col min="15878" max="15878" width="4.85546875" customWidth="1"/>
    <col min="15879" max="15879" width="14.7109375" customWidth="1"/>
    <col min="15880" max="15880" width="18.28515625" customWidth="1"/>
    <col min="15881" max="15881" width="15.5703125" customWidth="1"/>
    <col min="15882" max="15882" width="6.140625" customWidth="1"/>
    <col min="15883" max="15883" width="14.7109375" customWidth="1"/>
    <col min="15884" max="15884" width="16.140625" customWidth="1"/>
    <col min="15885" max="15885" width="14.7109375" customWidth="1"/>
    <col min="15886" max="15886" width="4.85546875" customWidth="1"/>
    <col min="15887" max="15887" width="18.5703125" customWidth="1"/>
    <col min="16129" max="16129" width="33.140625" customWidth="1"/>
    <col min="16130" max="16130" width="11" customWidth="1"/>
    <col min="16131" max="16131" width="16.85546875" customWidth="1"/>
    <col min="16132" max="16132" width="16.7109375" customWidth="1"/>
    <col min="16133" max="16133" width="14.7109375" customWidth="1"/>
    <col min="16134" max="16134" width="4.85546875" customWidth="1"/>
    <col min="16135" max="16135" width="14.7109375" customWidth="1"/>
    <col min="16136" max="16136" width="18.28515625" customWidth="1"/>
    <col min="16137" max="16137" width="15.5703125" customWidth="1"/>
    <col min="16138" max="16138" width="6.140625" customWidth="1"/>
    <col min="16139" max="16139" width="14.7109375" customWidth="1"/>
    <col min="16140" max="16140" width="16.140625" customWidth="1"/>
    <col min="16141" max="16141" width="14.7109375" customWidth="1"/>
    <col min="16142" max="16142" width="4.85546875" customWidth="1"/>
    <col min="16143" max="16143" width="18.5703125" customWidth="1"/>
  </cols>
  <sheetData>
    <row r="1" spans="1:19" ht="15.75">
      <c r="A1" s="657" t="s">
        <v>114</v>
      </c>
      <c r="B1" s="555"/>
      <c r="C1" s="555"/>
      <c r="D1" s="555"/>
      <c r="E1" s="555"/>
      <c r="F1" s="555"/>
      <c r="G1" s="218"/>
      <c r="H1" s="555"/>
      <c r="I1" s="555"/>
      <c r="J1" s="555"/>
      <c r="K1" s="555"/>
      <c r="L1" s="555"/>
      <c r="M1" s="555"/>
      <c r="N1" s="555"/>
      <c r="O1" s="555"/>
      <c r="P1" s="555"/>
      <c r="Q1" s="555"/>
      <c r="R1" s="555"/>
      <c r="S1" s="555"/>
    </row>
    <row r="2" spans="1:19" ht="15.75">
      <c r="A2" s="657" t="s">
        <v>114</v>
      </c>
      <c r="B2" s="555"/>
      <c r="C2" s="555"/>
      <c r="D2" s="555"/>
      <c r="E2" s="555"/>
      <c r="F2" s="555"/>
      <c r="G2" s="218"/>
      <c r="H2" s="555"/>
      <c r="I2" s="555"/>
      <c r="J2" s="555"/>
      <c r="K2" s="555"/>
      <c r="L2" s="555"/>
      <c r="M2" s="555"/>
      <c r="N2" s="555"/>
      <c r="O2" s="555"/>
      <c r="P2" s="555"/>
      <c r="Q2" s="555"/>
      <c r="R2" s="555"/>
      <c r="S2" s="555"/>
    </row>
    <row r="3" spans="1:19" ht="19.5">
      <c r="A3" s="1317" t="s">
        <v>391</v>
      </c>
      <c r="B3" s="1317"/>
      <c r="C3" s="1317"/>
      <c r="D3" s="1317"/>
      <c r="E3" s="1317"/>
      <c r="F3" s="1317"/>
      <c r="G3" s="1317"/>
      <c r="H3" s="1317"/>
      <c r="I3" s="1317"/>
      <c r="J3" s="1317"/>
      <c r="K3" s="1317"/>
      <c r="L3" s="1317"/>
      <c r="M3" s="1317"/>
      <c r="N3" s="1317"/>
      <c r="O3" s="1317"/>
      <c r="P3" s="554"/>
      <c r="Q3" s="554"/>
      <c r="R3" s="554"/>
      <c r="S3" s="554"/>
    </row>
    <row r="4" spans="1:19" ht="19.5">
      <c r="A4" s="1317" t="s">
        <v>392</v>
      </c>
      <c r="B4" s="1317"/>
      <c r="C4" s="1317"/>
      <c r="D4" s="1317"/>
      <c r="E4" s="1317"/>
      <c r="F4" s="1317"/>
      <c r="G4" s="1317"/>
      <c r="H4" s="1317"/>
      <c r="I4" s="1317"/>
      <c r="J4" s="1317"/>
      <c r="K4" s="1317"/>
      <c r="L4" s="1317"/>
      <c r="M4" s="1317"/>
      <c r="N4" s="1317"/>
      <c r="O4" s="1317"/>
      <c r="P4" s="554"/>
      <c r="Q4" s="554"/>
      <c r="R4" s="554"/>
      <c r="S4" s="554"/>
    </row>
    <row r="5" spans="1:19" ht="19.5">
      <c r="A5" s="1317" t="s">
        <v>393</v>
      </c>
      <c r="B5" s="1317"/>
      <c r="C5" s="1317"/>
      <c r="D5" s="1317"/>
      <c r="E5" s="1317"/>
      <c r="F5" s="1317"/>
      <c r="G5" s="1317"/>
      <c r="H5" s="1317"/>
      <c r="I5" s="1317"/>
      <c r="J5" s="1317"/>
      <c r="K5" s="1317"/>
      <c r="L5" s="1317"/>
      <c r="M5" s="1317"/>
      <c r="N5" s="1317"/>
      <c r="O5" s="1317"/>
      <c r="P5" s="554"/>
      <c r="Q5" s="554"/>
      <c r="R5" s="554"/>
      <c r="S5" s="554"/>
    </row>
    <row r="6" spans="1:19" ht="19.5">
      <c r="A6" s="1317" t="s">
        <v>394</v>
      </c>
      <c r="B6" s="1317"/>
      <c r="C6" s="1317"/>
      <c r="D6" s="1317"/>
      <c r="E6" s="1317"/>
      <c r="F6" s="1317"/>
      <c r="G6" s="1317"/>
      <c r="H6" s="1317"/>
      <c r="I6" s="1317"/>
      <c r="J6" s="1317"/>
      <c r="K6" s="1317"/>
      <c r="L6" s="1317"/>
      <c r="M6" s="1317"/>
      <c r="N6" s="1317"/>
      <c r="O6" s="1317"/>
      <c r="P6" s="554"/>
      <c r="Q6" s="554"/>
      <c r="R6" s="554"/>
      <c r="S6" s="554"/>
    </row>
    <row r="7" spans="1:19" ht="19.5">
      <c r="A7" s="1317" t="s">
        <v>1197</v>
      </c>
      <c r="B7" s="1317"/>
      <c r="C7" s="1317"/>
      <c r="D7" s="1317"/>
      <c r="E7" s="1317"/>
      <c r="F7" s="1317"/>
      <c r="G7" s="1317"/>
      <c r="H7" s="1317"/>
      <c r="I7" s="1317"/>
      <c r="J7" s="1317"/>
      <c r="K7" s="1317"/>
      <c r="L7" s="1317"/>
      <c r="M7" s="1317"/>
      <c r="N7" s="1317"/>
      <c r="O7" s="1317"/>
      <c r="P7" s="554"/>
      <c r="Q7" s="554"/>
      <c r="R7" s="554"/>
      <c r="S7" s="554"/>
    </row>
    <row r="8" spans="1:19" ht="19.5">
      <c r="A8" s="1317" t="s">
        <v>395</v>
      </c>
      <c r="B8" s="1317"/>
      <c r="C8" s="1317"/>
      <c r="D8" s="1317"/>
      <c r="E8" s="1317"/>
      <c r="F8" s="1317"/>
      <c r="G8" s="1317"/>
      <c r="H8" s="1317"/>
      <c r="I8" s="1317"/>
      <c r="J8" s="1317"/>
      <c r="K8" s="1317"/>
      <c r="L8" s="1317"/>
      <c r="M8" s="1317"/>
      <c r="N8" s="1317"/>
      <c r="O8" s="1317"/>
      <c r="P8" s="554"/>
      <c r="Q8" s="554"/>
      <c r="R8" s="554"/>
      <c r="S8" s="554"/>
    </row>
    <row r="9" spans="1:19" ht="19.5">
      <c r="A9" s="1318" t="s">
        <v>1185</v>
      </c>
      <c r="B9" s="1317"/>
      <c r="C9" s="1317"/>
      <c r="D9" s="1317"/>
      <c r="E9" s="1317"/>
      <c r="F9" s="1317"/>
      <c r="G9" s="1317"/>
      <c r="H9" s="1317"/>
      <c r="I9" s="1317"/>
      <c r="J9" s="1317"/>
      <c r="K9" s="1317"/>
      <c r="L9" s="1317"/>
      <c r="M9" s="1317"/>
      <c r="N9" s="1317"/>
      <c r="O9" s="1317"/>
      <c r="P9" s="554"/>
      <c r="Q9" s="554"/>
      <c r="R9" s="554"/>
      <c r="S9" s="554"/>
    </row>
    <row r="10" spans="1:19" ht="19.5">
      <c r="A10" s="1319"/>
      <c r="B10" s="1319"/>
      <c r="C10" s="1319"/>
      <c r="D10" s="1319"/>
      <c r="E10" s="1319"/>
      <c r="F10" s="1319"/>
      <c r="G10" s="1319"/>
      <c r="H10" s="1319"/>
      <c r="I10" s="1319"/>
      <c r="J10" s="1319"/>
      <c r="K10" s="1319"/>
      <c r="L10" s="1319"/>
      <c r="M10" s="1319"/>
      <c r="N10" s="1319"/>
      <c r="O10" s="1319"/>
      <c r="P10" s="556"/>
      <c r="Q10" s="556"/>
      <c r="R10" s="556"/>
      <c r="S10" s="556"/>
    </row>
    <row r="11" spans="1:19" ht="15">
      <c r="A11" s="555"/>
      <c r="B11" s="555"/>
      <c r="C11" s="555"/>
      <c r="D11" s="555"/>
      <c r="E11" s="555"/>
      <c r="F11" s="555"/>
      <c r="G11" s="218"/>
      <c r="H11" s="555"/>
      <c r="I11" s="555"/>
      <c r="J11" s="555"/>
      <c r="K11" s="555"/>
      <c r="L11" s="555"/>
      <c r="M11" s="555"/>
      <c r="N11" s="555"/>
      <c r="O11" s="555"/>
      <c r="P11" s="555"/>
      <c r="Q11" s="555"/>
      <c r="R11" s="555"/>
      <c r="S11" s="555"/>
    </row>
    <row r="12" spans="1:19" ht="16.5" thickBot="1">
      <c r="A12" s="557"/>
      <c r="B12" s="557"/>
      <c r="C12" s="1320" t="s">
        <v>597</v>
      </c>
      <c r="D12" s="1320"/>
      <c r="E12" s="1320"/>
      <c r="F12" s="557"/>
      <c r="G12" s="1320" t="s">
        <v>598</v>
      </c>
      <c r="H12" s="1320"/>
      <c r="I12" s="1320"/>
      <c r="J12" s="557"/>
      <c r="K12" s="1320" t="s">
        <v>396</v>
      </c>
      <c r="L12" s="1320"/>
      <c r="M12" s="1320"/>
      <c r="N12" s="557"/>
      <c r="O12" s="1320" t="s">
        <v>599</v>
      </c>
      <c r="P12" s="1320"/>
      <c r="Q12" s="1320"/>
      <c r="R12" s="557"/>
      <c r="S12" s="1019" t="s">
        <v>397</v>
      </c>
    </row>
    <row r="13" spans="1:19" ht="15">
      <c r="A13" s="557"/>
      <c r="B13" s="557"/>
      <c r="C13" s="558" t="s">
        <v>121</v>
      </c>
      <c r="D13" s="559"/>
      <c r="E13" s="559"/>
      <c r="F13" s="559"/>
      <c r="G13" s="560" t="s">
        <v>122</v>
      </c>
      <c r="H13" s="561"/>
      <c r="I13" s="561"/>
      <c r="J13" s="561"/>
      <c r="K13" s="562" t="s">
        <v>123</v>
      </c>
      <c r="L13" s="561"/>
      <c r="M13" s="561"/>
      <c r="N13" s="561"/>
      <c r="O13" s="563" t="s">
        <v>124</v>
      </c>
      <c r="P13" s="561"/>
      <c r="Q13" s="561"/>
      <c r="R13" s="561"/>
      <c r="S13" s="561"/>
    </row>
    <row r="14" spans="1:19" ht="15">
      <c r="A14" s="557"/>
      <c r="B14" s="557"/>
      <c r="C14" s="558" t="s">
        <v>114</v>
      </c>
      <c r="D14" s="559"/>
      <c r="E14" s="558" t="s">
        <v>398</v>
      </c>
      <c r="F14" s="559"/>
      <c r="G14" s="560" t="s">
        <v>600</v>
      </c>
      <c r="H14" s="559"/>
      <c r="I14" s="558" t="s">
        <v>398</v>
      </c>
      <c r="J14" s="559"/>
      <c r="K14" s="555"/>
      <c r="L14" s="559"/>
      <c r="M14" s="558" t="s">
        <v>398</v>
      </c>
      <c r="N14" s="559"/>
      <c r="O14" s="555"/>
      <c r="P14" s="559"/>
      <c r="Q14" s="558" t="s">
        <v>398</v>
      </c>
      <c r="R14" s="559"/>
      <c r="S14" s="558" t="s">
        <v>398</v>
      </c>
    </row>
    <row r="15" spans="1:19" ht="15">
      <c r="A15" s="557"/>
      <c r="B15" s="558" t="s">
        <v>399</v>
      </c>
      <c r="C15" s="558" t="s">
        <v>601</v>
      </c>
      <c r="D15" s="558" t="s">
        <v>400</v>
      </c>
      <c r="E15" s="558" t="s">
        <v>401</v>
      </c>
      <c r="F15" s="559"/>
      <c r="G15" s="560" t="s">
        <v>402</v>
      </c>
      <c r="H15" s="558" t="s">
        <v>400</v>
      </c>
      <c r="I15" s="558" t="s">
        <v>401</v>
      </c>
      <c r="J15" s="559"/>
      <c r="K15" s="558" t="s">
        <v>80</v>
      </c>
      <c r="L15" s="558" t="s">
        <v>400</v>
      </c>
      <c r="M15" s="558" t="s">
        <v>401</v>
      </c>
      <c r="N15" s="559"/>
      <c r="O15" s="558" t="s">
        <v>80</v>
      </c>
      <c r="P15" s="558" t="s">
        <v>400</v>
      </c>
      <c r="Q15" s="558" t="s">
        <v>401</v>
      </c>
      <c r="R15" s="559"/>
      <c r="S15" s="558" t="s">
        <v>401</v>
      </c>
    </row>
    <row r="16" spans="1:19" ht="15">
      <c r="A16" s="558"/>
      <c r="B16" s="558" t="s">
        <v>403</v>
      </c>
      <c r="C16" s="558" t="s">
        <v>404</v>
      </c>
      <c r="D16" s="558" t="s">
        <v>602</v>
      </c>
      <c r="E16" s="558" t="s">
        <v>405</v>
      </c>
      <c r="F16" s="559"/>
      <c r="G16" s="560" t="s">
        <v>404</v>
      </c>
      <c r="H16" s="558" t="s">
        <v>602</v>
      </c>
      <c r="I16" s="558" t="s">
        <v>405</v>
      </c>
      <c r="J16" s="559"/>
      <c r="K16" s="558" t="s">
        <v>404</v>
      </c>
      <c r="L16" s="558" t="s">
        <v>602</v>
      </c>
      <c r="M16" s="558" t="s">
        <v>405</v>
      </c>
      <c r="N16" s="559"/>
      <c r="O16" s="558" t="s">
        <v>404</v>
      </c>
      <c r="P16" s="558" t="s">
        <v>602</v>
      </c>
      <c r="Q16" s="558" t="s">
        <v>405</v>
      </c>
      <c r="R16" s="559"/>
      <c r="S16" s="558" t="s">
        <v>405</v>
      </c>
    </row>
    <row r="17" spans="1:19" ht="15">
      <c r="A17" s="555"/>
      <c r="B17" s="555"/>
      <c r="C17" s="555"/>
      <c r="D17" s="555"/>
      <c r="E17" s="555"/>
      <c r="F17" s="555"/>
      <c r="G17" s="218"/>
      <c r="H17" s="555"/>
      <c r="I17" s="555"/>
      <c r="J17" s="555"/>
      <c r="K17" s="555"/>
      <c r="L17" s="555"/>
      <c r="M17" s="555"/>
      <c r="N17" s="555"/>
      <c r="O17" s="555"/>
      <c r="P17" s="555"/>
      <c r="Q17" s="555"/>
      <c r="R17" s="555"/>
      <c r="S17" s="555"/>
    </row>
    <row r="18" spans="1:19" ht="15.75" thickBot="1">
      <c r="A18" s="564"/>
      <c r="B18" s="557"/>
      <c r="C18" s="212"/>
      <c r="D18" s="557"/>
      <c r="E18" s="557"/>
      <c r="F18" s="557"/>
      <c r="G18" s="212"/>
      <c r="H18" s="557"/>
      <c r="I18" s="557"/>
      <c r="J18" s="557"/>
      <c r="K18" s="212"/>
      <c r="L18" s="557"/>
      <c r="M18" s="557"/>
      <c r="N18" s="557"/>
      <c r="O18" s="212"/>
      <c r="P18" s="557"/>
      <c r="Q18" s="557"/>
      <c r="R18" s="557"/>
      <c r="S18" s="557"/>
    </row>
    <row r="19" spans="1:19" ht="15">
      <c r="A19" s="565" t="s">
        <v>406</v>
      </c>
      <c r="B19" s="566"/>
      <c r="C19" s="213"/>
      <c r="D19" s="214"/>
      <c r="E19" s="215"/>
      <c r="F19" s="566"/>
      <c r="G19" s="213"/>
      <c r="H19" s="216"/>
      <c r="I19" s="215"/>
      <c r="J19" s="566"/>
      <c r="K19" s="566"/>
      <c r="L19" s="216"/>
      <c r="M19" s="215"/>
      <c r="N19" s="566"/>
      <c r="O19" s="566"/>
      <c r="P19" s="214"/>
      <c r="Q19" s="215"/>
      <c r="R19" s="566"/>
      <c r="S19" s="215"/>
    </row>
    <row r="20" spans="1:19" ht="15">
      <c r="A20" s="1162" t="s">
        <v>603</v>
      </c>
      <c r="B20" s="217">
        <v>350.1</v>
      </c>
      <c r="C20" s="212">
        <v>6.5839999999999996E-3</v>
      </c>
      <c r="D20" s="1163">
        <v>1</v>
      </c>
      <c r="E20" s="212">
        <v>6.6E-3</v>
      </c>
      <c r="F20" s="557"/>
      <c r="G20" s="212"/>
      <c r="H20" s="219"/>
      <c r="I20" s="218"/>
      <c r="J20" s="557"/>
      <c r="K20" s="212"/>
      <c r="L20" s="219"/>
      <c r="M20" s="218"/>
      <c r="N20" s="557"/>
      <c r="O20" s="212"/>
      <c r="P20" s="1163"/>
      <c r="Q20" s="218"/>
      <c r="R20" s="557"/>
      <c r="S20" s="212">
        <v>6.6E-3</v>
      </c>
    </row>
    <row r="21" spans="1:19" ht="15">
      <c r="A21" s="1162" t="s">
        <v>604</v>
      </c>
      <c r="B21" s="217">
        <v>351</v>
      </c>
      <c r="C21" s="212"/>
      <c r="D21" s="1163"/>
      <c r="E21" s="212"/>
      <c r="F21" s="557"/>
      <c r="G21" s="212">
        <v>0.14219999999999999</v>
      </c>
      <c r="H21" s="219">
        <v>1</v>
      </c>
      <c r="I21" s="212">
        <v>0.14219999999999999</v>
      </c>
      <c r="J21" s="557"/>
      <c r="K21" s="212"/>
      <c r="L21" s="219"/>
      <c r="M21" s="218"/>
      <c r="N21" s="557"/>
      <c r="O21" s="212"/>
      <c r="P21" s="1163"/>
      <c r="Q21" s="218"/>
      <c r="R21" s="557"/>
      <c r="S21" s="212">
        <v>0.14219999999999999</v>
      </c>
    </row>
    <row r="22" spans="1:19" ht="15">
      <c r="A22" s="555" t="s">
        <v>407</v>
      </c>
      <c r="B22" s="217">
        <v>352</v>
      </c>
      <c r="C22" s="212">
        <v>2.2200000000000001E-2</v>
      </c>
      <c r="D22" s="219">
        <v>0.51122100000000004</v>
      </c>
      <c r="E22" s="212">
        <v>1.1299999999999999E-2</v>
      </c>
      <c r="F22" s="557"/>
      <c r="G22" s="212">
        <v>1.6199999999999999E-2</v>
      </c>
      <c r="H22" s="219">
        <v>0.39937400000000001</v>
      </c>
      <c r="I22" s="212">
        <v>6.4999999999999997E-3</v>
      </c>
      <c r="J22" s="557"/>
      <c r="K22" s="212">
        <v>2.1899999999999999E-2</v>
      </c>
      <c r="L22" s="219">
        <v>3.3013000000000001E-2</v>
      </c>
      <c r="M22" s="212">
        <v>6.9999999999999999E-4</v>
      </c>
      <c r="N22" s="557"/>
      <c r="O22" s="212">
        <v>2.1899999999999999E-2</v>
      </c>
      <c r="P22" s="219">
        <v>5.6391999999999998E-2</v>
      </c>
      <c r="Q22" s="212">
        <v>1.1999999999999999E-3</v>
      </c>
      <c r="R22" s="557"/>
      <c r="S22" s="212">
        <v>1.9699999999999999E-2</v>
      </c>
    </row>
    <row r="23" spans="1:19" ht="15">
      <c r="A23" s="555" t="s">
        <v>408</v>
      </c>
      <c r="B23" s="217">
        <v>353</v>
      </c>
      <c r="C23" s="212">
        <v>2.75E-2</v>
      </c>
      <c r="D23" s="219">
        <v>0.51122100000000004</v>
      </c>
      <c r="E23" s="212">
        <v>1.41E-2</v>
      </c>
      <c r="F23" s="557"/>
      <c r="G23" s="212">
        <v>2.3699999999999999E-2</v>
      </c>
      <c r="H23" s="219">
        <v>0.39937400000000001</v>
      </c>
      <c r="I23" s="212">
        <v>9.4999999999999998E-3</v>
      </c>
      <c r="J23" s="557"/>
      <c r="K23" s="212">
        <v>2.1899999999999999E-2</v>
      </c>
      <c r="L23" s="219">
        <v>3.3013000000000001E-2</v>
      </c>
      <c r="M23" s="212">
        <v>6.9999999999999999E-4</v>
      </c>
      <c r="N23" s="557"/>
      <c r="O23" s="212">
        <v>2.1899999999999999E-2</v>
      </c>
      <c r="P23" s="219">
        <v>5.6391999999999998E-2</v>
      </c>
      <c r="Q23" s="212">
        <v>1.1999999999999999E-3</v>
      </c>
      <c r="R23" s="557"/>
      <c r="S23" s="212">
        <v>2.5499999999999998E-2</v>
      </c>
    </row>
    <row r="24" spans="1:19" ht="15">
      <c r="A24" s="555" t="s">
        <v>409</v>
      </c>
      <c r="B24" s="217">
        <v>354</v>
      </c>
      <c r="C24" s="212">
        <v>1.6299999999999999E-2</v>
      </c>
      <c r="D24" s="219">
        <v>0.51122100000000004</v>
      </c>
      <c r="E24" s="212">
        <v>8.3000000000000001E-3</v>
      </c>
      <c r="F24" s="557"/>
      <c r="G24" s="212">
        <v>1.5900000000000001E-2</v>
      </c>
      <c r="H24" s="219">
        <v>0.39937400000000001</v>
      </c>
      <c r="I24" s="212">
        <v>6.4000000000000003E-3</v>
      </c>
      <c r="J24" s="557"/>
      <c r="K24" s="212">
        <v>2.1899999999999999E-2</v>
      </c>
      <c r="L24" s="219">
        <v>3.3013000000000001E-2</v>
      </c>
      <c r="M24" s="212">
        <v>6.9999999999999999E-4</v>
      </c>
      <c r="N24" s="557"/>
      <c r="O24" s="212">
        <v>2.1899999999999999E-2</v>
      </c>
      <c r="P24" s="219">
        <v>5.6391999999999998E-2</v>
      </c>
      <c r="Q24" s="212">
        <v>1.1999999999999999E-3</v>
      </c>
      <c r="R24" s="557"/>
      <c r="S24" s="212">
        <v>1.66E-2</v>
      </c>
    </row>
    <row r="25" spans="1:19" ht="15">
      <c r="A25" s="555" t="s">
        <v>410</v>
      </c>
      <c r="B25" s="217">
        <v>355</v>
      </c>
      <c r="C25" s="212">
        <v>3.7199999999999997E-2</v>
      </c>
      <c r="D25" s="219">
        <v>0.51122100000000004</v>
      </c>
      <c r="E25" s="212">
        <v>1.9E-2</v>
      </c>
      <c r="F25" s="557"/>
      <c r="G25" s="212">
        <v>2.7099999999999999E-2</v>
      </c>
      <c r="H25" s="219">
        <v>0.39937400000000001</v>
      </c>
      <c r="I25" s="212">
        <v>1.0800000000000001E-2</v>
      </c>
      <c r="J25" s="557"/>
      <c r="K25" s="212">
        <v>2.1899999999999999E-2</v>
      </c>
      <c r="L25" s="219">
        <v>3.3013000000000001E-2</v>
      </c>
      <c r="M25" s="212">
        <v>6.9999999999999999E-4</v>
      </c>
      <c r="N25" s="557"/>
      <c r="O25" s="212">
        <v>2.1899999999999999E-2</v>
      </c>
      <c r="P25" s="219">
        <v>5.6391999999999998E-2</v>
      </c>
      <c r="Q25" s="212">
        <v>1.1999999999999999E-3</v>
      </c>
      <c r="R25" s="557"/>
      <c r="S25" s="212">
        <v>3.1699999999999999E-2</v>
      </c>
    </row>
    <row r="26" spans="1:19" ht="15">
      <c r="A26" s="555" t="s">
        <v>605</v>
      </c>
      <c r="B26" s="217">
        <v>356</v>
      </c>
      <c r="C26" s="212">
        <v>1.9900000000000001E-2</v>
      </c>
      <c r="D26" s="219">
        <v>0.51122100000000004</v>
      </c>
      <c r="E26" s="212">
        <v>1.0200000000000001E-2</v>
      </c>
      <c r="F26" s="557"/>
      <c r="G26" s="212">
        <v>1.5299999999999999E-2</v>
      </c>
      <c r="H26" s="219">
        <v>0.39937400000000001</v>
      </c>
      <c r="I26" s="212">
        <v>6.1000000000000004E-3</v>
      </c>
      <c r="J26" s="557"/>
      <c r="K26" s="212">
        <v>2.1899999999999999E-2</v>
      </c>
      <c r="L26" s="219">
        <v>3.3013000000000001E-2</v>
      </c>
      <c r="M26" s="212">
        <v>6.9999999999999999E-4</v>
      </c>
      <c r="N26" s="557"/>
      <c r="O26" s="212">
        <v>2.1899999999999999E-2</v>
      </c>
      <c r="P26" s="219">
        <v>5.6391999999999998E-2</v>
      </c>
      <c r="Q26" s="212">
        <v>1.1999999999999999E-3</v>
      </c>
      <c r="R26" s="557"/>
      <c r="S26" s="212">
        <v>1.8200000000000001E-2</v>
      </c>
    </row>
    <row r="27" spans="1:19" ht="15">
      <c r="A27" s="555" t="s">
        <v>411</v>
      </c>
      <c r="B27" s="217">
        <v>357</v>
      </c>
      <c r="C27" s="212">
        <v>2.4E-2</v>
      </c>
      <c r="D27" s="219">
        <v>0.51122100000000004</v>
      </c>
      <c r="E27" s="212">
        <v>1.23E-2</v>
      </c>
      <c r="F27" s="557"/>
      <c r="G27" s="212">
        <v>3.7100000000000001E-2</v>
      </c>
      <c r="H27" s="219">
        <v>0.39937400000000001</v>
      </c>
      <c r="I27" s="212">
        <v>1.4800000000000001E-2</v>
      </c>
      <c r="J27" s="557"/>
      <c r="K27" s="212">
        <v>2.1899999999999999E-2</v>
      </c>
      <c r="L27" s="219">
        <v>3.3013000000000001E-2</v>
      </c>
      <c r="M27" s="212">
        <v>6.9999999999999999E-4</v>
      </c>
      <c r="N27" s="557"/>
      <c r="O27" s="212">
        <v>2.1899999999999999E-2</v>
      </c>
      <c r="P27" s="219">
        <v>5.6391999999999998E-2</v>
      </c>
      <c r="Q27" s="212">
        <v>1.1999999999999999E-3</v>
      </c>
      <c r="R27" s="557"/>
      <c r="S27" s="212">
        <v>2.9000000000000001E-2</v>
      </c>
    </row>
    <row r="28" spans="1:19" ht="15">
      <c r="A28" s="555" t="s">
        <v>412</v>
      </c>
      <c r="B28" s="217">
        <v>358</v>
      </c>
      <c r="C28" s="212">
        <v>4.6399999999999997E-2</v>
      </c>
      <c r="D28" s="219">
        <v>0.51122100000000004</v>
      </c>
      <c r="E28" s="212">
        <v>2.3699999999999999E-2</v>
      </c>
      <c r="F28" s="557"/>
      <c r="G28" s="212">
        <v>5.2400000000000002E-2</v>
      </c>
      <c r="H28" s="219">
        <v>0.39937400000000001</v>
      </c>
      <c r="I28" s="212">
        <v>2.0899999999999998E-2</v>
      </c>
      <c r="J28" s="557"/>
      <c r="K28" s="212">
        <v>2.1899999999999999E-2</v>
      </c>
      <c r="L28" s="219">
        <v>3.3013000000000001E-2</v>
      </c>
      <c r="M28" s="212">
        <v>6.9999999999999999E-4</v>
      </c>
      <c r="N28" s="557"/>
      <c r="O28" s="212">
        <v>2.1899999999999999E-2</v>
      </c>
      <c r="P28" s="219">
        <v>5.6391999999999998E-2</v>
      </c>
      <c r="Q28" s="212">
        <v>1.1999999999999999E-3</v>
      </c>
      <c r="R28" s="557"/>
      <c r="S28" s="212">
        <v>4.65E-2</v>
      </c>
    </row>
    <row r="29" spans="1:19" ht="15.75" thickBot="1">
      <c r="A29" s="555"/>
      <c r="B29" s="557"/>
      <c r="C29" s="212"/>
      <c r="D29" s="1163"/>
      <c r="E29" s="218"/>
      <c r="F29" s="557"/>
      <c r="G29" s="212"/>
      <c r="H29" s="1163"/>
      <c r="I29" s="218"/>
      <c r="J29" s="557"/>
      <c r="K29" s="212"/>
      <c r="L29" s="1163"/>
      <c r="M29" s="218"/>
      <c r="N29" s="557"/>
      <c r="O29" s="212"/>
      <c r="P29" s="1163"/>
      <c r="Q29" s="212"/>
      <c r="R29" s="557"/>
      <c r="S29" s="212"/>
    </row>
    <row r="30" spans="1:19" ht="15">
      <c r="A30" s="1020" t="s">
        <v>993</v>
      </c>
      <c r="B30" s="1021"/>
      <c r="C30" s="1164"/>
      <c r="D30" s="1022"/>
      <c r="E30" s="1023"/>
      <c r="F30" s="1021"/>
      <c r="G30" s="1164"/>
      <c r="H30" s="1022"/>
      <c r="I30" s="1023"/>
      <c r="J30" s="1021"/>
      <c r="K30" s="1021"/>
      <c r="L30" s="1022"/>
      <c r="M30" s="1023"/>
      <c r="N30" s="1021"/>
      <c r="O30" s="1021"/>
      <c r="P30" s="1022"/>
      <c r="Q30" s="1023"/>
      <c r="R30" s="1021"/>
      <c r="S30" s="1024"/>
    </row>
    <row r="31" spans="1:19" ht="15">
      <c r="A31" s="1162" t="s">
        <v>801</v>
      </c>
      <c r="B31" s="217">
        <v>390</v>
      </c>
      <c r="C31" s="212">
        <v>2.06E-2</v>
      </c>
      <c r="D31" s="1163">
        <v>0.523756</v>
      </c>
      <c r="E31" s="212">
        <v>1.0800000000000001E-2</v>
      </c>
      <c r="F31" s="557"/>
      <c r="G31" s="212">
        <v>1.9099999999999999E-2</v>
      </c>
      <c r="H31" s="219">
        <v>0.42593999999999999</v>
      </c>
      <c r="I31" s="212">
        <v>8.0999999999999996E-3</v>
      </c>
      <c r="J31" s="557"/>
      <c r="K31" s="212">
        <v>3.4300000000000004E-2</v>
      </c>
      <c r="L31" s="219">
        <v>1.9295E-2</v>
      </c>
      <c r="M31" s="212">
        <v>6.9999999999999999E-4</v>
      </c>
      <c r="N31" s="557"/>
      <c r="O31" s="212">
        <v>3.4300000000000004E-2</v>
      </c>
      <c r="P31" s="1163">
        <v>3.1008999999999998E-2</v>
      </c>
      <c r="Q31" s="212">
        <v>1.1000000000000001E-3</v>
      </c>
      <c r="R31" s="557"/>
      <c r="S31" s="212">
        <v>2.07E-2</v>
      </c>
    </row>
    <row r="32" spans="1:19" ht="15">
      <c r="A32" s="1162" t="s">
        <v>802</v>
      </c>
      <c r="B32" s="217">
        <v>391</v>
      </c>
      <c r="C32" s="212">
        <v>3.2500000000000001E-2</v>
      </c>
      <c r="D32" s="1163">
        <v>0.523756</v>
      </c>
      <c r="E32" s="212">
        <v>1.7000000000000001E-2</v>
      </c>
      <c r="F32" s="557"/>
      <c r="G32" s="212">
        <v>3.1699999999999999E-2</v>
      </c>
      <c r="H32" s="219">
        <v>0.42593999999999999</v>
      </c>
      <c r="I32" s="212">
        <v>1.35E-2</v>
      </c>
      <c r="J32" s="557"/>
      <c r="K32" s="212">
        <v>3.4300000000000004E-2</v>
      </c>
      <c r="L32" s="219">
        <v>1.9295E-2</v>
      </c>
      <c r="M32" s="212">
        <v>6.9999999999999999E-4</v>
      </c>
      <c r="N32" s="557"/>
      <c r="O32" s="212">
        <v>3.4300000000000004E-2</v>
      </c>
      <c r="P32" s="1163">
        <v>3.1008999999999998E-2</v>
      </c>
      <c r="Q32" s="212">
        <v>1.1000000000000001E-3</v>
      </c>
      <c r="R32" s="557"/>
      <c r="S32" s="212">
        <v>3.2300000000000002E-2</v>
      </c>
    </row>
    <row r="33" spans="1:19" ht="15">
      <c r="A33" s="1162" t="s">
        <v>994</v>
      </c>
      <c r="B33" s="217">
        <v>392</v>
      </c>
      <c r="C33" s="212">
        <v>3.4500000000000003E-2</v>
      </c>
      <c r="D33" s="219">
        <v>0.523756</v>
      </c>
      <c r="E33" s="212">
        <v>1.8100000000000002E-2</v>
      </c>
      <c r="F33" s="557"/>
      <c r="G33" s="212">
        <v>3.4000000000000002E-2</v>
      </c>
      <c r="H33" s="219">
        <v>0.42593999999999999</v>
      </c>
      <c r="I33" s="212">
        <v>1.4500000000000001E-2</v>
      </c>
      <c r="J33" s="557"/>
      <c r="K33" s="212">
        <v>3.4300000000000004E-2</v>
      </c>
      <c r="L33" s="219">
        <v>1.9295E-2</v>
      </c>
      <c r="M33" s="212">
        <v>6.9999999999999999E-4</v>
      </c>
      <c r="N33" s="557"/>
      <c r="O33" s="212">
        <v>3.4300000000000004E-2</v>
      </c>
      <c r="P33" s="219">
        <v>3.1008999999999998E-2</v>
      </c>
      <c r="Q33" s="212">
        <v>1.1000000000000001E-3</v>
      </c>
      <c r="R33" s="557"/>
      <c r="S33" s="212">
        <v>3.44E-2</v>
      </c>
    </row>
    <row r="34" spans="1:19" ht="15">
      <c r="A34" s="1162" t="s">
        <v>803</v>
      </c>
      <c r="B34" s="217">
        <v>393</v>
      </c>
      <c r="C34" s="212">
        <v>1.78E-2</v>
      </c>
      <c r="D34" s="219">
        <v>0.523756</v>
      </c>
      <c r="E34" s="212">
        <v>9.2999999999999992E-3</v>
      </c>
      <c r="F34" s="557"/>
      <c r="G34" s="212">
        <v>1.7999999999999999E-2</v>
      </c>
      <c r="H34" s="219">
        <v>0.42593999999999999</v>
      </c>
      <c r="I34" s="212">
        <v>7.7000000000000002E-3</v>
      </c>
      <c r="J34" s="557"/>
      <c r="K34" s="212">
        <v>3.4300000000000004E-2</v>
      </c>
      <c r="L34" s="219">
        <v>1.9295E-2</v>
      </c>
      <c r="M34" s="212">
        <v>6.9999999999999999E-4</v>
      </c>
      <c r="N34" s="557"/>
      <c r="O34" s="212">
        <v>3.4300000000000004E-2</v>
      </c>
      <c r="P34" s="219">
        <v>3.1008999999999998E-2</v>
      </c>
      <c r="Q34" s="212">
        <v>1.1000000000000001E-3</v>
      </c>
      <c r="R34" s="557"/>
      <c r="S34" s="212">
        <v>1.8800000000000001E-2</v>
      </c>
    </row>
    <row r="35" spans="1:19" ht="15.75" customHeight="1">
      <c r="A35" s="1162" t="s">
        <v>804</v>
      </c>
      <c r="B35" s="217">
        <v>394</v>
      </c>
      <c r="C35" s="212">
        <v>2.5899999999999999E-2</v>
      </c>
      <c r="D35" s="219">
        <v>0.523756</v>
      </c>
      <c r="E35" s="212">
        <v>1.3599999999999999E-2</v>
      </c>
      <c r="F35" s="557"/>
      <c r="G35" s="212">
        <v>2.5700000000000001E-2</v>
      </c>
      <c r="H35" s="219">
        <v>0.42593999999999999</v>
      </c>
      <c r="I35" s="212">
        <v>1.09E-2</v>
      </c>
      <c r="J35" s="557"/>
      <c r="K35" s="212">
        <v>3.4300000000000004E-2</v>
      </c>
      <c r="L35" s="219">
        <v>1.9295E-2</v>
      </c>
      <c r="M35" s="212">
        <v>6.9999999999999999E-4</v>
      </c>
      <c r="N35" s="557"/>
      <c r="O35" s="212">
        <v>3.4300000000000004E-2</v>
      </c>
      <c r="P35" s="219">
        <v>3.1008999999999998E-2</v>
      </c>
      <c r="Q35" s="212">
        <v>1.1000000000000001E-3</v>
      </c>
      <c r="R35" s="557"/>
      <c r="S35" s="212">
        <v>2.63E-2</v>
      </c>
    </row>
    <row r="36" spans="1:19" ht="15.75" customHeight="1">
      <c r="A36" s="1162" t="s">
        <v>805</v>
      </c>
      <c r="B36" s="217">
        <v>395</v>
      </c>
      <c r="C36" s="212">
        <v>3.5000000000000003E-2</v>
      </c>
      <c r="D36" s="219">
        <v>0.523756</v>
      </c>
      <c r="E36" s="212">
        <v>1.83E-2</v>
      </c>
      <c r="F36" s="557"/>
      <c r="G36" s="212">
        <v>4.0099999999999997E-2</v>
      </c>
      <c r="H36" s="219">
        <v>0.42593999999999999</v>
      </c>
      <c r="I36" s="212">
        <v>1.7100000000000001E-2</v>
      </c>
      <c r="J36" s="557"/>
      <c r="K36" s="212">
        <v>3.4300000000000004E-2</v>
      </c>
      <c r="L36" s="219">
        <v>1.9295E-2</v>
      </c>
      <c r="M36" s="212">
        <v>6.9999999999999999E-4</v>
      </c>
      <c r="N36" s="557"/>
      <c r="O36" s="212">
        <v>3.4300000000000004E-2</v>
      </c>
      <c r="P36" s="219">
        <v>3.1008999999999998E-2</v>
      </c>
      <c r="Q36" s="212">
        <v>1.1000000000000001E-3</v>
      </c>
      <c r="R36" s="557"/>
      <c r="S36" s="212">
        <v>3.7199999999999997E-2</v>
      </c>
    </row>
    <row r="37" spans="1:19" ht="15.75" customHeight="1">
      <c r="A37" s="1162" t="s">
        <v>995</v>
      </c>
      <c r="B37" s="217">
        <v>396</v>
      </c>
      <c r="C37" s="212">
        <v>4.1599999999999998E-2</v>
      </c>
      <c r="D37" s="219">
        <v>0.523756</v>
      </c>
      <c r="E37" s="212">
        <v>2.18E-2</v>
      </c>
      <c r="F37" s="557"/>
      <c r="G37" s="212">
        <v>3.9E-2</v>
      </c>
      <c r="H37" s="219">
        <v>0.42593999999999999</v>
      </c>
      <c r="I37" s="212">
        <v>1.66E-2</v>
      </c>
      <c r="J37" s="557"/>
      <c r="K37" s="212">
        <v>3.4300000000000004E-2</v>
      </c>
      <c r="L37" s="219">
        <v>1.9295E-2</v>
      </c>
      <c r="M37" s="212">
        <v>6.9999999999999999E-4</v>
      </c>
      <c r="N37" s="557"/>
      <c r="O37" s="212">
        <v>3.4300000000000004E-2</v>
      </c>
      <c r="P37" s="219">
        <v>3.1008999999999998E-2</v>
      </c>
      <c r="Q37" s="212">
        <v>1.1000000000000001E-3</v>
      </c>
      <c r="R37" s="557"/>
      <c r="S37" s="212">
        <v>4.02E-2</v>
      </c>
    </row>
    <row r="38" spans="1:19" ht="15">
      <c r="A38" s="1162" t="s">
        <v>806</v>
      </c>
      <c r="B38" s="217">
        <v>397</v>
      </c>
      <c r="C38" s="212">
        <v>5.0200000000000002E-2</v>
      </c>
      <c r="D38" s="219">
        <v>0.523756</v>
      </c>
      <c r="E38" s="212">
        <v>2.63E-2</v>
      </c>
      <c r="F38" s="557"/>
      <c r="G38" s="212">
        <v>4.9799999999999997E-2</v>
      </c>
      <c r="H38" s="219">
        <v>0.42593999999999999</v>
      </c>
      <c r="I38" s="212">
        <v>2.12E-2</v>
      </c>
      <c r="J38" s="557"/>
      <c r="K38" s="212">
        <v>3.4300000000000004E-2</v>
      </c>
      <c r="L38" s="219">
        <v>1.9295E-2</v>
      </c>
      <c r="M38" s="212">
        <v>6.9999999999999999E-4</v>
      </c>
      <c r="N38" s="557"/>
      <c r="O38" s="212">
        <v>3.4300000000000004E-2</v>
      </c>
      <c r="P38" s="219">
        <v>3.1008999999999998E-2</v>
      </c>
      <c r="Q38" s="212">
        <v>1.1000000000000001E-3</v>
      </c>
      <c r="R38" s="557"/>
      <c r="S38" s="212">
        <v>4.9299999999999997E-2</v>
      </c>
    </row>
    <row r="39" spans="1:19" ht="15">
      <c r="A39" s="1162" t="s">
        <v>807</v>
      </c>
      <c r="B39" s="217">
        <v>398</v>
      </c>
      <c r="C39" s="212">
        <v>2.7099999999999999E-2</v>
      </c>
      <c r="D39" s="219">
        <v>0.523756</v>
      </c>
      <c r="E39" s="212">
        <v>1.4200000000000001E-2</v>
      </c>
      <c r="F39" s="557"/>
      <c r="G39" s="212">
        <v>2.7E-2</v>
      </c>
      <c r="H39" s="219">
        <v>0.42593999999999999</v>
      </c>
      <c r="I39" s="212">
        <v>1.15E-2</v>
      </c>
      <c r="J39" s="557"/>
      <c r="K39" s="212">
        <v>3.4300000000000004E-2</v>
      </c>
      <c r="L39" s="219">
        <v>1.9295E-2</v>
      </c>
      <c r="M39" s="212">
        <v>6.9999999999999999E-4</v>
      </c>
      <c r="N39" s="557"/>
      <c r="O39" s="212">
        <v>3.4300000000000004E-2</v>
      </c>
      <c r="P39" s="219">
        <v>3.1008999999999998E-2</v>
      </c>
      <c r="Q39" s="212">
        <v>1.1000000000000001E-3</v>
      </c>
      <c r="R39" s="557"/>
      <c r="S39" s="212">
        <v>2.75E-2</v>
      </c>
    </row>
    <row r="40" spans="1:19" ht="15.75" thickBot="1">
      <c r="A40" s="1025"/>
      <c r="B40" s="1026"/>
      <c r="C40" s="1027"/>
      <c r="D40" s="1028"/>
      <c r="E40" s="1029"/>
      <c r="F40" s="1026"/>
      <c r="G40" s="1029"/>
      <c r="H40" s="1028"/>
      <c r="I40" s="1029"/>
      <c r="J40" s="1026"/>
      <c r="K40" s="1027"/>
      <c r="L40" s="1028"/>
      <c r="M40" s="1029"/>
      <c r="N40" s="1026"/>
      <c r="O40" s="1027"/>
      <c r="P40" s="1028"/>
      <c r="Q40" s="1029"/>
      <c r="R40" s="1026"/>
      <c r="S40" s="1029"/>
    </row>
    <row r="41" spans="1:19" ht="15">
      <c r="A41" s="555"/>
      <c r="B41" s="557"/>
      <c r="C41" s="212"/>
      <c r="D41" s="555"/>
      <c r="E41" s="555"/>
      <c r="F41" s="555"/>
      <c r="G41" s="218"/>
      <c r="H41" s="555"/>
      <c r="I41" s="555"/>
      <c r="J41" s="555"/>
      <c r="K41" s="555"/>
      <c r="L41" s="555"/>
      <c r="M41" s="555"/>
      <c r="N41" s="555"/>
      <c r="O41" s="555"/>
      <c r="P41" s="555"/>
      <c r="Q41" s="555"/>
      <c r="R41" s="555"/>
      <c r="S41" s="555"/>
    </row>
    <row r="42" spans="1:19" ht="15" customHeight="1">
      <c r="A42" s="1316" t="s">
        <v>1191</v>
      </c>
      <c r="B42" s="1316"/>
      <c r="C42" s="1316"/>
      <c r="D42" s="1316"/>
      <c r="F42" s="1151" t="s">
        <v>123</v>
      </c>
      <c r="G42" s="1152" t="s">
        <v>1090</v>
      </c>
      <c r="H42" s="1099"/>
      <c r="L42" s="1153" t="s">
        <v>607</v>
      </c>
      <c r="M42" t="s">
        <v>1192</v>
      </c>
    </row>
    <row r="43" spans="1:19">
      <c r="A43" s="1316"/>
      <c r="B43" s="1316"/>
      <c r="C43" s="1316"/>
      <c r="D43" s="1316"/>
      <c r="F43" s="1154"/>
      <c r="G43" s="1152"/>
      <c r="H43" s="1099"/>
      <c r="M43" t="s">
        <v>1193</v>
      </c>
    </row>
    <row r="44" spans="1:19" ht="15" customHeight="1">
      <c r="A44" s="1316"/>
      <c r="B44" s="1316"/>
      <c r="C44" s="1316"/>
      <c r="D44" s="1316"/>
      <c r="F44" s="1153" t="s">
        <v>606</v>
      </c>
      <c r="G44" s="1152" t="s">
        <v>1091</v>
      </c>
      <c r="M44" t="s">
        <v>608</v>
      </c>
    </row>
    <row r="45" spans="1:19">
      <c r="A45" s="1316"/>
      <c r="B45" s="1316"/>
      <c r="C45" s="1316"/>
      <c r="D45" s="1316"/>
      <c r="F45" s="1154"/>
      <c r="G45" s="1152"/>
      <c r="H45" s="1099"/>
    </row>
    <row r="46" spans="1:19" ht="15.75" customHeight="1">
      <c r="A46" t="s">
        <v>1194</v>
      </c>
      <c r="B46" s="1155"/>
      <c r="C46" s="1156"/>
      <c r="D46" s="1155"/>
      <c r="E46" s="1155"/>
      <c r="F46" s="1153"/>
      <c r="H46" s="1099"/>
      <c r="L46" s="1153" t="s">
        <v>609</v>
      </c>
      <c r="M46" t="s">
        <v>1094</v>
      </c>
    </row>
    <row r="47" spans="1:19" ht="15.75" customHeight="1">
      <c r="B47" s="1155"/>
      <c r="C47" s="1156"/>
      <c r="D47" s="1157"/>
      <c r="E47" s="1157"/>
      <c r="F47" s="1158"/>
      <c r="M47" t="s">
        <v>1095</v>
      </c>
    </row>
    <row r="48" spans="1:19" ht="15.75" customHeight="1">
      <c r="A48" t="s">
        <v>1092</v>
      </c>
      <c r="B48" s="1155"/>
      <c r="C48" s="1156"/>
      <c r="D48" s="1155"/>
      <c r="E48" s="1155"/>
      <c r="G48" s="1152"/>
      <c r="O48" s="1159"/>
    </row>
    <row r="49" spans="1:19" ht="15.75">
      <c r="A49" t="s">
        <v>1093</v>
      </c>
      <c r="B49" s="1155"/>
      <c r="C49" s="1156"/>
      <c r="D49" s="1155"/>
      <c r="E49" s="1155"/>
      <c r="G49" s="1152"/>
      <c r="L49" s="1153" t="s">
        <v>1195</v>
      </c>
      <c r="M49" s="1275" t="s">
        <v>1196</v>
      </c>
      <c r="N49" s="1275"/>
      <c r="O49" s="1275"/>
      <c r="P49" s="1275"/>
      <c r="Q49" s="1275"/>
      <c r="R49" s="1275"/>
      <c r="S49" s="1275"/>
    </row>
    <row r="50" spans="1:19" ht="15.75" customHeight="1">
      <c r="B50" s="1155"/>
      <c r="C50" s="1156"/>
      <c r="D50" s="1157"/>
      <c r="E50" s="1157"/>
      <c r="G50" s="1152"/>
      <c r="M50" s="1275"/>
      <c r="N50" s="1275"/>
      <c r="O50" s="1275"/>
      <c r="P50" s="1275"/>
      <c r="Q50" s="1275"/>
      <c r="R50" s="1275"/>
      <c r="S50" s="1275"/>
    </row>
    <row r="51" spans="1:19">
      <c r="B51" s="1160"/>
      <c r="C51" s="1161"/>
      <c r="G51" s="1152"/>
      <c r="M51" s="1275"/>
      <c r="N51" s="1275"/>
      <c r="O51" s="1275"/>
      <c r="P51" s="1275"/>
      <c r="Q51" s="1275"/>
      <c r="R51" s="1275"/>
      <c r="S51" s="1275"/>
    </row>
    <row r="52" spans="1:19" ht="15">
      <c r="A52" s="568" t="s">
        <v>29</v>
      </c>
      <c r="B52" s="569"/>
      <c r="C52" s="569"/>
      <c r="D52" s="570"/>
      <c r="E52" s="555"/>
      <c r="F52" s="555"/>
      <c r="G52" s="218"/>
      <c r="H52" s="555"/>
      <c r="I52" s="555"/>
      <c r="J52" s="555"/>
      <c r="K52" s="555"/>
      <c r="L52" s="555"/>
      <c r="M52" s="555"/>
      <c r="N52" s="555"/>
      <c r="O52" s="567"/>
      <c r="P52" s="555"/>
      <c r="Q52" s="555"/>
      <c r="R52" s="555"/>
      <c r="S52" s="555"/>
    </row>
    <row r="53" spans="1:19" ht="15">
      <c r="A53" s="1314" t="s">
        <v>610</v>
      </c>
      <c r="B53" s="1315"/>
      <c r="C53" s="1315"/>
      <c r="D53" s="1315"/>
      <c r="E53" s="1315"/>
      <c r="F53" s="1315"/>
      <c r="G53" s="1315"/>
      <c r="H53" s="1315"/>
      <c r="I53" s="1315"/>
      <c r="J53" s="1315"/>
      <c r="K53" s="1315"/>
      <c r="L53" s="1315"/>
      <c r="M53" s="1315"/>
      <c r="N53" s="1315"/>
      <c r="O53" s="555"/>
      <c r="P53" s="555"/>
      <c r="Q53" s="555"/>
      <c r="R53" s="555"/>
      <c r="S53" s="555"/>
    </row>
    <row r="54" spans="1:19" ht="15">
      <c r="A54" s="1315"/>
      <c r="B54" s="1315"/>
      <c r="C54" s="1315"/>
      <c r="D54" s="1315"/>
      <c r="E54" s="1315"/>
      <c r="F54" s="1315"/>
      <c r="G54" s="1315"/>
      <c r="H54" s="1315"/>
      <c r="I54" s="1315"/>
      <c r="J54" s="1315"/>
      <c r="K54" s="1315"/>
      <c r="L54" s="1315"/>
      <c r="M54" s="1315"/>
      <c r="N54" s="1315"/>
      <c r="O54" s="555"/>
      <c r="P54" s="555"/>
      <c r="Q54" s="555"/>
      <c r="R54" s="555"/>
      <c r="S54" s="555"/>
    </row>
    <row r="55" spans="1:19" ht="15">
      <c r="A55" s="1224" t="s">
        <v>816</v>
      </c>
      <c r="B55" s="1224"/>
      <c r="C55" s="1224"/>
      <c r="D55" s="1224"/>
      <c r="E55" s="1224"/>
      <c r="F55" s="1224"/>
      <c r="G55" s="1224"/>
      <c r="H55" s="1224"/>
      <c r="I55" s="1224"/>
      <c r="J55" s="1224"/>
      <c r="K55" s="1224"/>
      <c r="L55" s="1224"/>
      <c r="M55" s="1224"/>
      <c r="N55" s="1224"/>
      <c r="O55" s="555"/>
      <c r="P55" s="555"/>
      <c r="Q55" s="555"/>
      <c r="R55" s="555"/>
      <c r="S55" s="555"/>
    </row>
    <row r="56" spans="1:19" ht="15">
      <c r="A56" s="1224"/>
      <c r="B56" s="1224"/>
      <c r="C56" s="1224"/>
      <c r="D56" s="1224"/>
      <c r="E56" s="1224"/>
      <c r="F56" s="1224"/>
      <c r="G56" s="1224"/>
      <c r="H56" s="1224"/>
      <c r="I56" s="1224"/>
      <c r="J56" s="1224"/>
      <c r="K56" s="1224"/>
      <c r="L56" s="1224"/>
      <c r="M56" s="1224"/>
      <c r="N56" s="1224"/>
      <c r="O56" s="555"/>
      <c r="P56" s="555"/>
      <c r="Q56" s="555"/>
      <c r="R56" s="555"/>
      <c r="S56" s="555"/>
    </row>
  </sheetData>
  <mergeCells count="16">
    <mergeCell ref="A55:N56"/>
    <mergeCell ref="A53:N54"/>
    <mergeCell ref="A42:D45"/>
    <mergeCell ref="M49:S51"/>
    <mergeCell ref="A3:O3"/>
    <mergeCell ref="A6:O6"/>
    <mergeCell ref="A7:O7"/>
    <mergeCell ref="A4:O4"/>
    <mergeCell ref="A5:O5"/>
    <mergeCell ref="A8:O8"/>
    <mergeCell ref="A9:O9"/>
    <mergeCell ref="A10:O10"/>
    <mergeCell ref="C12:E12"/>
    <mergeCell ref="G12:I12"/>
    <mergeCell ref="K12:M12"/>
    <mergeCell ref="O12:Q12"/>
  </mergeCells>
  <phoneticPr fontId="7" type="noConversion"/>
  <conditionalFormatting sqref="A3 A4:S9 A10 P10:S10">
    <cfRule type="cellIs" dxfId="15" priority="59" stopIfTrue="1" operator="lessThan">
      <formula>0</formula>
    </cfRule>
  </conditionalFormatting>
  <conditionalFormatting sqref="A53">
    <cfRule type="cellIs" dxfId="14" priority="57" stopIfTrue="1" operator="lessThan">
      <formula>0</formula>
    </cfRule>
  </conditionalFormatting>
  <conditionalFormatting sqref="A46:G46 M46:N50 A47:F49 A50:E51">
    <cfRule type="cellIs" dxfId="13" priority="19" stopIfTrue="1" operator="lessThan">
      <formula>0</formula>
    </cfRule>
  </conditionalFormatting>
  <conditionalFormatting sqref="A42:N45 O42:S56">
    <cfRule type="cellIs" dxfId="12" priority="21" stopIfTrue="1" operator="lessThan">
      <formula>0</formula>
    </cfRule>
  </conditionalFormatting>
  <conditionalFormatting sqref="A52:N52">
    <cfRule type="cellIs" dxfId="11" priority="58" stopIfTrue="1" operator="lessThan">
      <formula>0</formula>
    </cfRule>
  </conditionalFormatting>
  <conditionalFormatting sqref="A12:S41">
    <cfRule type="cellIs" dxfId="10" priority="1" stopIfTrue="1" operator="lessThan">
      <formula>0</formula>
    </cfRule>
  </conditionalFormatting>
  <conditionalFormatting sqref="F50:G50">
    <cfRule type="cellIs" dxfId="9" priority="11" stopIfTrue="1" operator="lessThan">
      <formula>0</formula>
    </cfRule>
  </conditionalFormatting>
  <conditionalFormatting sqref="G46">
    <cfRule type="colorScale" priority="18">
      <colorScale>
        <cfvo type="min"/>
        <cfvo type="percentile" val="50"/>
        <cfvo type="max"/>
        <color rgb="FF5A8AC6"/>
        <color rgb="FFFCFCFF"/>
        <color rgb="FFF8696B"/>
      </colorScale>
    </cfRule>
  </conditionalFormatting>
  <conditionalFormatting sqref="G47">
    <cfRule type="colorScale" priority="16">
      <colorScale>
        <cfvo type="min"/>
        <cfvo type="percentile" val="50"/>
        <cfvo type="max"/>
        <color rgb="FF5A8AC6"/>
        <color rgb="FFFCFCFF"/>
        <color rgb="FFF8696B"/>
      </colorScale>
    </cfRule>
    <cfRule type="cellIs" dxfId="8" priority="17" stopIfTrue="1" operator="lessThan">
      <formula>0</formula>
    </cfRule>
  </conditionalFormatting>
  <conditionalFormatting sqref="G48">
    <cfRule type="colorScale" priority="14">
      <colorScale>
        <cfvo type="min"/>
        <cfvo type="percentile" val="50"/>
        <cfvo type="max"/>
        <color rgb="FF5A8AC6"/>
        <color rgb="FFFCFCFF"/>
        <color rgb="FFF8696B"/>
      </colorScale>
    </cfRule>
    <cfRule type="cellIs" dxfId="7" priority="15" stopIfTrue="1" operator="lessThan">
      <formula>0</formula>
    </cfRule>
  </conditionalFormatting>
  <conditionalFormatting sqref="G49">
    <cfRule type="colorScale" priority="12">
      <colorScale>
        <cfvo type="min"/>
        <cfvo type="percentile" val="50"/>
        <cfvo type="max"/>
        <color rgb="FF5A8AC6"/>
        <color rgb="FFFCFCFF"/>
        <color rgb="FFF8696B"/>
      </colorScale>
    </cfRule>
    <cfRule type="cellIs" dxfId="6" priority="13" stopIfTrue="1" operator="lessThan">
      <formula>0</formula>
    </cfRule>
  </conditionalFormatting>
  <conditionalFormatting sqref="G50">
    <cfRule type="colorScale" priority="10">
      <colorScale>
        <cfvo type="min"/>
        <cfvo type="percentile" val="50"/>
        <cfvo type="max"/>
        <color rgb="FF5A8AC6"/>
        <color rgb="FFFCFCFF"/>
        <color rgb="FFF8696B"/>
      </colorScale>
    </cfRule>
  </conditionalFormatting>
  <conditionalFormatting sqref="L51:N51">
    <cfRule type="cellIs" dxfId="5" priority="20" stopIfTrue="1" operator="lessThan">
      <formula>0</formula>
    </cfRule>
  </conditionalFormatting>
  <printOptions horizontalCentered="1"/>
  <pageMargins left="0.55000000000000004" right="0.55000000000000004" top="1.25" bottom="0.75" header="0.75" footer="0.27"/>
  <pageSetup scale="46" orientation="landscape" r:id="rId1"/>
  <headerFooter alignWithMargins="0">
    <oddHeader>&amp;RFormula Rate 
&amp;A
Page &amp;P of &amp;N</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K59"/>
  <sheetViews>
    <sheetView tabSelected="1" view="pageBreakPreview" zoomScale="60" zoomScaleNormal="70" workbookViewId="0">
      <selection activeCell="D11" sqref="D11"/>
    </sheetView>
  </sheetViews>
  <sheetFormatPr defaultColWidth="9.140625" defaultRowHeight="12.75"/>
  <cols>
    <col min="1" max="1" width="34.28515625" style="1096" customWidth="1"/>
    <col min="2" max="2" width="9.140625" style="1096"/>
    <col min="3" max="3" width="11.85546875" style="1096" customWidth="1"/>
    <col min="4" max="4" width="18.28515625" style="1096" customWidth="1"/>
    <col min="5" max="5" width="12.5703125" style="1096" customWidth="1"/>
    <col min="6" max="6" width="9.140625" style="1096"/>
    <col min="7" max="7" width="12.140625" style="1096" customWidth="1"/>
    <col min="8" max="8" width="18.85546875" style="1096" customWidth="1"/>
    <col min="9" max="9" width="15.5703125" style="1096" bestFit="1" customWidth="1"/>
    <col min="10" max="16384" width="9.140625" style="1096"/>
  </cols>
  <sheetData>
    <row r="1" spans="1:11" s="555" customFormat="1" ht="15.75">
      <c r="A1" s="657" t="s">
        <v>114</v>
      </c>
      <c r="G1" s="218"/>
    </row>
    <row r="2" spans="1:11" s="555" customFormat="1" ht="15.75">
      <c r="A2" s="657" t="s">
        <v>114</v>
      </c>
      <c r="G2" s="218"/>
    </row>
    <row r="3" spans="1:11" ht="19.5">
      <c r="A3" s="1317" t="s">
        <v>391</v>
      </c>
      <c r="B3" s="1317"/>
      <c r="C3" s="1317"/>
      <c r="D3" s="1317"/>
      <c r="E3" s="1317"/>
      <c r="F3" s="1317"/>
      <c r="G3" s="1317"/>
      <c r="H3" s="1317"/>
      <c r="I3" s="1317"/>
      <c r="J3" s="1317"/>
      <c r="K3" s="1317"/>
    </row>
    <row r="4" spans="1:11" ht="19.5">
      <c r="A4" s="1317" t="s">
        <v>392</v>
      </c>
      <c r="B4" s="1317"/>
      <c r="C4" s="1317"/>
      <c r="D4" s="1317"/>
      <c r="E4" s="1317"/>
      <c r="F4" s="1317"/>
      <c r="G4" s="1317"/>
      <c r="H4" s="1317"/>
      <c r="I4" s="1317"/>
      <c r="J4" s="1317"/>
      <c r="K4" s="1317"/>
    </row>
    <row r="5" spans="1:11" ht="19.5">
      <c r="A5" s="1317" t="s">
        <v>393</v>
      </c>
      <c r="B5" s="1317"/>
      <c r="C5" s="1317"/>
      <c r="D5" s="1317"/>
      <c r="E5" s="1317"/>
      <c r="F5" s="1317"/>
      <c r="G5" s="1317"/>
      <c r="H5" s="1317"/>
      <c r="I5" s="1317"/>
      <c r="J5" s="1317"/>
      <c r="K5" s="1317"/>
    </row>
    <row r="6" spans="1:11" ht="19.5">
      <c r="A6" s="1317" t="s">
        <v>394</v>
      </c>
      <c r="B6" s="1317"/>
      <c r="C6" s="1317"/>
      <c r="D6" s="1317"/>
      <c r="E6" s="1317"/>
      <c r="F6" s="1317"/>
      <c r="G6" s="1317"/>
      <c r="H6" s="1317"/>
      <c r="I6" s="1317"/>
      <c r="J6" s="1317"/>
      <c r="K6" s="1317"/>
    </row>
    <row r="7" spans="1:11" ht="19.5">
      <c r="A7" s="1317" t="s">
        <v>1101</v>
      </c>
      <c r="B7" s="1317"/>
      <c r="C7" s="1317"/>
      <c r="D7" s="1317"/>
      <c r="E7" s="1317"/>
      <c r="F7" s="1317"/>
      <c r="G7" s="1317"/>
      <c r="H7" s="1317"/>
      <c r="I7" s="1317"/>
      <c r="J7" s="1317"/>
      <c r="K7" s="1317"/>
    </row>
    <row r="8" spans="1:11" ht="19.5">
      <c r="A8" s="1317" t="s">
        <v>395</v>
      </c>
      <c r="B8" s="1317"/>
      <c r="C8" s="1317"/>
      <c r="D8" s="1317"/>
      <c r="E8" s="1317"/>
      <c r="F8" s="1317"/>
      <c r="G8" s="1317"/>
      <c r="H8" s="1317"/>
      <c r="I8" s="1317"/>
      <c r="J8" s="1317"/>
      <c r="K8" s="1317"/>
    </row>
    <row r="9" spans="1:11" ht="19.5">
      <c r="A9" s="1317" t="s">
        <v>763</v>
      </c>
      <c r="B9" s="1317"/>
      <c r="C9" s="1317"/>
      <c r="D9" s="1317"/>
      <c r="E9" s="1317"/>
      <c r="F9" s="1317"/>
      <c r="G9" s="1317"/>
      <c r="H9" s="1317"/>
      <c r="I9" s="1317"/>
      <c r="J9" s="1317"/>
      <c r="K9" s="1317"/>
    </row>
    <row r="10" spans="1:11" ht="19.5">
      <c r="A10" s="1322"/>
      <c r="B10" s="1322"/>
      <c r="C10" s="1322"/>
      <c r="D10" s="1322"/>
      <c r="E10" s="1322"/>
      <c r="F10" s="1322"/>
      <c r="G10" s="1322"/>
      <c r="H10" s="1322"/>
      <c r="I10" s="1322"/>
      <c r="J10" s="1322"/>
      <c r="K10" s="1322"/>
    </row>
    <row r="11" spans="1:11" ht="16.5" thickBot="1">
      <c r="A11" s="843"/>
      <c r="B11" s="843"/>
      <c r="C11" s="1320" t="s">
        <v>764</v>
      </c>
      <c r="D11" s="1320"/>
      <c r="E11" s="1320"/>
      <c r="F11" s="843"/>
      <c r="G11" s="1320" t="s">
        <v>1088</v>
      </c>
      <c r="H11" s="1320"/>
      <c r="I11" s="1320"/>
      <c r="J11" s="843"/>
      <c r="K11" s="1019" t="s">
        <v>397</v>
      </c>
    </row>
    <row r="12" spans="1:11" ht="15.75">
      <c r="A12" s="844"/>
      <c r="B12" s="843"/>
      <c r="C12" s="558" t="s">
        <v>121</v>
      </c>
      <c r="D12" s="973"/>
      <c r="E12" s="973"/>
      <c r="F12" s="973"/>
      <c r="G12" s="560" t="s">
        <v>122</v>
      </c>
      <c r="H12" s="561"/>
      <c r="I12" s="561"/>
      <c r="J12" s="561"/>
      <c r="K12" s="561"/>
    </row>
    <row r="13" spans="1:11" ht="15">
      <c r="A13" s="843"/>
      <c r="B13" s="843"/>
      <c r="C13" s="558" t="s">
        <v>114</v>
      </c>
      <c r="D13" s="973"/>
      <c r="E13" s="558" t="s">
        <v>398</v>
      </c>
      <c r="F13" s="973"/>
      <c r="G13" s="560" t="s">
        <v>765</v>
      </c>
      <c r="H13" s="973"/>
      <c r="I13" s="558" t="s">
        <v>398</v>
      </c>
      <c r="J13" s="973"/>
      <c r="K13" s="558" t="s">
        <v>398</v>
      </c>
    </row>
    <row r="14" spans="1:11" ht="15">
      <c r="A14" s="843"/>
      <c r="B14" s="558" t="s">
        <v>399</v>
      </c>
      <c r="C14" s="558" t="s">
        <v>766</v>
      </c>
      <c r="D14" s="558" t="s">
        <v>400</v>
      </c>
      <c r="E14" s="558" t="s">
        <v>401</v>
      </c>
      <c r="F14" s="973"/>
      <c r="G14" s="560" t="s">
        <v>402</v>
      </c>
      <c r="H14" s="558" t="s">
        <v>400</v>
      </c>
      <c r="I14" s="558" t="s">
        <v>401</v>
      </c>
      <c r="J14" s="973"/>
      <c r="K14" s="558" t="s">
        <v>401</v>
      </c>
    </row>
    <row r="15" spans="1:11" ht="15">
      <c r="A15" s="558"/>
      <c r="B15" s="558" t="s">
        <v>403</v>
      </c>
      <c r="C15" s="558" t="s">
        <v>404</v>
      </c>
      <c r="D15" s="558" t="s">
        <v>767</v>
      </c>
      <c r="E15" s="558" t="s">
        <v>405</v>
      </c>
      <c r="F15" s="973"/>
      <c r="G15" s="560" t="s">
        <v>404</v>
      </c>
      <c r="H15" s="558" t="s">
        <v>767</v>
      </c>
      <c r="I15" s="558" t="s">
        <v>405</v>
      </c>
      <c r="J15" s="973"/>
      <c r="K15" s="558" t="s">
        <v>405</v>
      </c>
    </row>
    <row r="16" spans="1:11" ht="15">
      <c r="A16" s="555"/>
      <c r="B16" s="555"/>
      <c r="C16" s="555"/>
      <c r="D16" s="555"/>
      <c r="E16" s="555"/>
      <c r="F16" s="555"/>
      <c r="G16" s="218"/>
      <c r="H16" s="555"/>
      <c r="I16" s="555"/>
      <c r="J16" s="555"/>
      <c r="K16" s="555"/>
    </row>
    <row r="17" spans="1:11" ht="15.75" thickBot="1">
      <c r="A17" s="845"/>
      <c r="B17" s="843"/>
      <c r="C17" s="212"/>
      <c r="D17" s="843"/>
      <c r="E17" s="843"/>
      <c r="F17" s="843"/>
      <c r="G17" s="974"/>
      <c r="H17" s="843"/>
      <c r="I17" s="843"/>
      <c r="J17" s="843"/>
      <c r="K17" s="843"/>
    </row>
    <row r="18" spans="1:11" ht="15">
      <c r="A18" s="565" t="s">
        <v>406</v>
      </c>
      <c r="B18" s="846"/>
      <c r="C18" s="213"/>
      <c r="D18" s="214"/>
      <c r="E18" s="215"/>
      <c r="F18" s="846"/>
      <c r="G18" s="215"/>
      <c r="H18" s="216"/>
      <c r="I18" s="215"/>
      <c r="J18" s="846"/>
      <c r="K18" s="215"/>
    </row>
    <row r="19" spans="1:11" ht="15">
      <c r="A19" s="555" t="s">
        <v>768</v>
      </c>
      <c r="B19" s="217">
        <v>350.1</v>
      </c>
      <c r="C19" s="218">
        <v>1.66E-2</v>
      </c>
      <c r="D19" s="219">
        <v>0.66233529999999996</v>
      </c>
      <c r="E19" s="218">
        <f t="shared" ref="E19:E27" si="0">ROUND((C19*D19),6)</f>
        <v>1.0995E-2</v>
      </c>
      <c r="F19" s="843"/>
      <c r="G19" s="218">
        <v>1.6199999999999999E-2</v>
      </c>
      <c r="H19" s="219">
        <v>0.33766470000000004</v>
      </c>
      <c r="I19" s="218">
        <f t="shared" ref="I19:I27" si="1">ROUND((G19*H19),6)</f>
        <v>5.47E-3</v>
      </c>
      <c r="J19" s="843"/>
      <c r="K19" s="212">
        <f>ROUND(E19+I19,4)</f>
        <v>1.6500000000000001E-2</v>
      </c>
    </row>
    <row r="20" spans="1:11" ht="15">
      <c r="A20" s="555" t="s">
        <v>407</v>
      </c>
      <c r="B20" s="217">
        <v>352</v>
      </c>
      <c r="C20" s="218">
        <v>1.77E-2</v>
      </c>
      <c r="D20" s="219">
        <v>0.66233529999999996</v>
      </c>
      <c r="E20" s="218">
        <f t="shared" si="0"/>
        <v>1.1723000000000001E-2</v>
      </c>
      <c r="F20" s="843"/>
      <c r="G20" s="218">
        <v>1.7399999999999999E-2</v>
      </c>
      <c r="H20" s="219">
        <v>0.33766470000000004</v>
      </c>
      <c r="I20" s="218">
        <f t="shared" si="1"/>
        <v>5.875E-3</v>
      </c>
      <c r="J20" s="843"/>
      <c r="K20" s="212">
        <f t="shared" ref="K20:K27" si="2">ROUND(E20+I20,4)</f>
        <v>1.7600000000000001E-2</v>
      </c>
    </row>
    <row r="21" spans="1:11" ht="15">
      <c r="A21" s="555" t="s">
        <v>408</v>
      </c>
      <c r="B21" s="217">
        <v>353</v>
      </c>
      <c r="C21" s="218">
        <v>2.4299999999999999E-2</v>
      </c>
      <c r="D21" s="219">
        <v>0.66233529999999996</v>
      </c>
      <c r="E21" s="218">
        <f t="shared" si="0"/>
        <v>1.6095000000000002E-2</v>
      </c>
      <c r="F21" s="843"/>
      <c r="G21" s="218">
        <v>2.41E-2</v>
      </c>
      <c r="H21" s="219">
        <v>0.33766470000000004</v>
      </c>
      <c r="I21" s="218">
        <f t="shared" si="1"/>
        <v>8.1379999999999994E-3</v>
      </c>
      <c r="J21" s="843"/>
      <c r="K21" s="212">
        <f t="shared" si="2"/>
        <v>2.4199999999999999E-2</v>
      </c>
    </row>
    <row r="22" spans="1:11" ht="15">
      <c r="A22" s="555" t="s">
        <v>409</v>
      </c>
      <c r="B22" s="217">
        <v>354</v>
      </c>
      <c r="C22" s="218">
        <v>2.5700000000000001E-2</v>
      </c>
      <c r="D22" s="219">
        <v>0.66233529999999996</v>
      </c>
      <c r="E22" s="218">
        <f t="shared" si="0"/>
        <v>1.7021999999999999E-2</v>
      </c>
      <c r="F22" s="843"/>
      <c r="G22" s="218">
        <v>2.4500000000000001E-2</v>
      </c>
      <c r="H22" s="219">
        <v>0.33766470000000004</v>
      </c>
      <c r="I22" s="218">
        <f t="shared" si="1"/>
        <v>8.2730000000000008E-3</v>
      </c>
      <c r="J22" s="843"/>
      <c r="K22" s="212">
        <f t="shared" si="2"/>
        <v>2.53E-2</v>
      </c>
    </row>
    <row r="23" spans="1:11" ht="15">
      <c r="A23" s="555" t="s">
        <v>410</v>
      </c>
      <c r="B23" s="217">
        <v>355</v>
      </c>
      <c r="C23" s="218">
        <v>3.1899999999999998E-2</v>
      </c>
      <c r="D23" s="219">
        <v>0.66233529999999996</v>
      </c>
      <c r="E23" s="218">
        <f t="shared" si="0"/>
        <v>2.1128000000000001E-2</v>
      </c>
      <c r="F23" s="843"/>
      <c r="G23" s="218">
        <v>3.1699999999999999E-2</v>
      </c>
      <c r="H23" s="219">
        <v>0.33766470000000004</v>
      </c>
      <c r="I23" s="218">
        <f t="shared" si="1"/>
        <v>1.0704E-2</v>
      </c>
      <c r="J23" s="843"/>
      <c r="K23" s="212">
        <f t="shared" si="2"/>
        <v>3.1800000000000002E-2</v>
      </c>
    </row>
    <row r="24" spans="1:11" ht="15">
      <c r="A24" s="555" t="s">
        <v>769</v>
      </c>
      <c r="B24" s="217">
        <v>356</v>
      </c>
      <c r="C24" s="218">
        <v>2.35E-2</v>
      </c>
      <c r="D24" s="219">
        <v>0.66233529999999996</v>
      </c>
      <c r="E24" s="218">
        <f t="shared" si="0"/>
        <v>1.5565000000000001E-2</v>
      </c>
      <c r="F24" s="843"/>
      <c r="G24" s="218">
        <v>2.2800000000000001E-2</v>
      </c>
      <c r="H24" s="219">
        <v>0.33766470000000004</v>
      </c>
      <c r="I24" s="218">
        <f t="shared" si="1"/>
        <v>7.6990000000000001E-3</v>
      </c>
      <c r="J24" s="843"/>
      <c r="K24" s="212">
        <f t="shared" si="2"/>
        <v>2.3300000000000001E-2</v>
      </c>
    </row>
    <row r="25" spans="1:11" ht="15">
      <c r="A25" s="555" t="s">
        <v>411</v>
      </c>
      <c r="B25" s="217">
        <v>357</v>
      </c>
      <c r="C25" s="218">
        <v>2.3E-2</v>
      </c>
      <c r="D25" s="219">
        <v>0.66233529999999996</v>
      </c>
      <c r="E25" s="218">
        <f t="shared" si="0"/>
        <v>1.5233999999999999E-2</v>
      </c>
      <c r="F25" s="843"/>
      <c r="G25" s="218">
        <v>2.2100000000000002E-2</v>
      </c>
      <c r="H25" s="219">
        <v>0.33766470000000004</v>
      </c>
      <c r="I25" s="218">
        <f t="shared" si="1"/>
        <v>7.4619999999999999E-3</v>
      </c>
      <c r="J25" s="843"/>
      <c r="K25" s="212">
        <f t="shared" si="2"/>
        <v>2.2700000000000001E-2</v>
      </c>
    </row>
    <row r="26" spans="1:11" ht="15">
      <c r="A26" s="555" t="s">
        <v>412</v>
      </c>
      <c r="B26" s="217">
        <v>358</v>
      </c>
      <c r="C26" s="218">
        <v>1.9300000000000001E-2</v>
      </c>
      <c r="D26" s="219">
        <v>0.66233529999999996</v>
      </c>
      <c r="E26" s="218">
        <f t="shared" si="0"/>
        <v>1.2782999999999999E-2</v>
      </c>
      <c r="F26" s="843"/>
      <c r="G26" s="218">
        <v>1.9E-2</v>
      </c>
      <c r="H26" s="219">
        <v>0.33766470000000004</v>
      </c>
      <c r="I26" s="218">
        <f t="shared" si="1"/>
        <v>6.4159999999999998E-3</v>
      </c>
      <c r="J26" s="843"/>
      <c r="K26" s="212">
        <f t="shared" si="2"/>
        <v>1.9199999999999998E-2</v>
      </c>
    </row>
    <row r="27" spans="1:11" ht="15">
      <c r="A27" s="555" t="s">
        <v>770</v>
      </c>
      <c r="B27" s="217">
        <v>359</v>
      </c>
      <c r="C27" s="218">
        <v>1.61E-2</v>
      </c>
      <c r="D27" s="219">
        <v>0.66233529999999996</v>
      </c>
      <c r="E27" s="218">
        <f t="shared" si="0"/>
        <v>1.0664E-2</v>
      </c>
      <c r="F27" s="843"/>
      <c r="G27" s="218">
        <v>1.5900000000000001E-2</v>
      </c>
      <c r="H27" s="219">
        <v>0.33766470000000004</v>
      </c>
      <c r="I27" s="218">
        <f t="shared" si="1"/>
        <v>5.3689999999999996E-3</v>
      </c>
      <c r="J27" s="843"/>
      <c r="K27" s="212">
        <f t="shared" si="2"/>
        <v>1.6E-2</v>
      </c>
    </row>
    <row r="28" spans="1:11" ht="15">
      <c r="A28" s="555"/>
      <c r="B28" s="555"/>
      <c r="C28" s="555"/>
      <c r="D28" s="555"/>
      <c r="E28" s="555"/>
      <c r="F28" s="555"/>
      <c r="G28" s="555"/>
      <c r="H28" s="555"/>
      <c r="I28" s="555"/>
      <c r="J28" s="555"/>
      <c r="K28" s="555"/>
    </row>
    <row r="29" spans="1:11" ht="15.75" thickBot="1">
      <c r="A29" s="555"/>
      <c r="B29" s="555"/>
      <c r="C29" s="555"/>
      <c r="D29" s="555"/>
      <c r="E29" s="555"/>
      <c r="F29" s="555"/>
      <c r="G29" s="555"/>
      <c r="H29" s="555"/>
      <c r="I29" s="555"/>
      <c r="J29" s="555"/>
      <c r="K29" s="555"/>
    </row>
    <row r="30" spans="1:11" ht="15">
      <c r="A30" s="1020" t="s">
        <v>993</v>
      </c>
      <c r="B30" s="1021"/>
      <c r="C30" s="1097"/>
      <c r="D30" s="1022"/>
      <c r="E30" s="1023"/>
      <c r="F30" s="1021"/>
      <c r="G30" s="1024"/>
      <c r="H30" s="1022"/>
      <c r="I30" s="1023"/>
      <c r="J30" s="1021"/>
      <c r="K30" s="555"/>
    </row>
    <row r="31" spans="1:11" ht="15">
      <c r="A31" s="1098"/>
      <c r="B31" s="217">
        <v>390</v>
      </c>
      <c r="C31" s="218">
        <v>2.0799999999999999E-2</v>
      </c>
      <c r="D31" s="219">
        <v>0.68186831634107659</v>
      </c>
      <c r="E31" s="218">
        <f t="shared" ref="E31:E39" si="3">ROUND((C31*D31),6)</f>
        <v>1.4182999999999999E-2</v>
      </c>
      <c r="F31" s="843"/>
      <c r="G31" s="218">
        <v>2.0799999999999999E-2</v>
      </c>
      <c r="H31" s="219">
        <v>0.31813168365892341</v>
      </c>
      <c r="I31" s="218">
        <f t="shared" ref="I31:I39" si="4">ROUND((G31*H31),6)</f>
        <v>6.6169999999999996E-3</v>
      </c>
      <c r="J31" s="1099"/>
      <c r="K31" s="212">
        <f t="shared" ref="K31:K39" si="5">ROUND(E31+I31,4)</f>
        <v>2.0799999999999999E-2</v>
      </c>
    </row>
    <row r="32" spans="1:11" ht="15">
      <c r="A32" s="1098"/>
      <c r="B32" s="217">
        <v>391</v>
      </c>
      <c r="C32" s="218">
        <v>4.7899999999999998E-2</v>
      </c>
      <c r="D32" s="219">
        <v>0.68186831634107659</v>
      </c>
      <c r="E32" s="218">
        <f t="shared" si="3"/>
        <v>3.2661000000000003E-2</v>
      </c>
      <c r="F32" s="843"/>
      <c r="G32" s="218">
        <v>4.8399999999999999E-2</v>
      </c>
      <c r="H32" s="219">
        <v>0.31813168365892341</v>
      </c>
      <c r="I32" s="218">
        <f t="shared" si="4"/>
        <v>1.5398E-2</v>
      </c>
      <c r="J32" s="1099"/>
      <c r="K32" s="212">
        <f t="shared" si="5"/>
        <v>4.8099999999999997E-2</v>
      </c>
    </row>
    <row r="33" spans="1:11" ht="15">
      <c r="A33" s="1100" t="s">
        <v>1089</v>
      </c>
      <c r="B33" s="217">
        <v>392</v>
      </c>
      <c r="C33" s="218">
        <v>4.6399999999999997E-2</v>
      </c>
      <c r="D33" s="219">
        <v>0.68186831634107659</v>
      </c>
      <c r="E33" s="218">
        <f t="shared" si="3"/>
        <v>3.1639E-2</v>
      </c>
      <c r="F33" s="843"/>
      <c r="G33" s="218">
        <v>4.6800000000000001E-2</v>
      </c>
      <c r="H33" s="219">
        <v>0.31813168365892341</v>
      </c>
      <c r="I33" s="218">
        <f t="shared" si="4"/>
        <v>1.4888999999999999E-2</v>
      </c>
      <c r="J33" s="1099"/>
      <c r="K33" s="212">
        <f t="shared" si="5"/>
        <v>4.65E-2</v>
      </c>
    </row>
    <row r="34" spans="1:11" ht="15">
      <c r="A34" s="1098"/>
      <c r="B34" s="217">
        <v>393</v>
      </c>
      <c r="C34" s="218">
        <v>7.3499999999999996E-2</v>
      </c>
      <c r="D34" s="219">
        <v>0.68186831634107659</v>
      </c>
      <c r="E34" s="218">
        <f t="shared" si="3"/>
        <v>5.0117000000000002E-2</v>
      </c>
      <c r="F34" s="843"/>
      <c r="G34" s="218">
        <v>7.3800000000000004E-2</v>
      </c>
      <c r="H34" s="219">
        <v>0.31813168365892341</v>
      </c>
      <c r="I34" s="218">
        <f t="shared" si="4"/>
        <v>2.3477999999999999E-2</v>
      </c>
      <c r="J34" s="1099"/>
      <c r="K34" s="212">
        <f t="shared" si="5"/>
        <v>7.3599999999999999E-2</v>
      </c>
    </row>
    <row r="35" spans="1:11" ht="15">
      <c r="A35" s="1098"/>
      <c r="B35" s="217">
        <v>394</v>
      </c>
      <c r="C35" s="218">
        <v>6.9900000000000004E-2</v>
      </c>
      <c r="D35" s="219">
        <v>0.68186831634107659</v>
      </c>
      <c r="E35" s="218">
        <f t="shared" si="3"/>
        <v>4.7662999999999997E-2</v>
      </c>
      <c r="F35" s="843"/>
      <c r="G35" s="218">
        <v>7.0699999999999999E-2</v>
      </c>
      <c r="H35" s="219">
        <v>0.31813168365892341</v>
      </c>
      <c r="I35" s="218">
        <f t="shared" si="4"/>
        <v>2.2492000000000002E-2</v>
      </c>
      <c r="J35" s="1099"/>
      <c r="K35" s="212">
        <f t="shared" si="5"/>
        <v>7.0199999999999999E-2</v>
      </c>
    </row>
    <row r="36" spans="1:11" ht="15">
      <c r="A36" s="1098"/>
      <c r="B36" s="217">
        <v>395</v>
      </c>
      <c r="C36" s="218">
        <v>5.4100000000000002E-2</v>
      </c>
      <c r="D36" s="219">
        <v>0.68186831634107659</v>
      </c>
      <c r="E36" s="218">
        <f t="shared" si="3"/>
        <v>3.6888999999999998E-2</v>
      </c>
      <c r="F36" s="843"/>
      <c r="G36" s="218">
        <v>5.4600000000000003E-2</v>
      </c>
      <c r="H36" s="219">
        <v>0.31813168365892341</v>
      </c>
      <c r="I36" s="218">
        <f t="shared" si="4"/>
        <v>1.737E-2</v>
      </c>
      <c r="J36" s="1099"/>
      <c r="K36" s="212">
        <f t="shared" si="5"/>
        <v>5.4300000000000001E-2</v>
      </c>
    </row>
    <row r="37" spans="1:11" ht="15">
      <c r="A37" s="1098"/>
      <c r="B37" s="217">
        <v>396</v>
      </c>
      <c r="C37" s="218">
        <v>4.8099999999999997E-2</v>
      </c>
      <c r="D37" s="219">
        <v>0.68186831634107659</v>
      </c>
      <c r="E37" s="218">
        <f t="shared" si="3"/>
        <v>3.2798000000000001E-2</v>
      </c>
      <c r="F37" s="843"/>
      <c r="G37" s="218">
        <v>4.9000000000000002E-2</v>
      </c>
      <c r="H37" s="219">
        <v>0.31813168365892341</v>
      </c>
      <c r="I37" s="218">
        <f t="shared" si="4"/>
        <v>1.5587999999999999E-2</v>
      </c>
      <c r="J37" s="1099"/>
      <c r="K37" s="212">
        <f t="shared" si="5"/>
        <v>4.8399999999999999E-2</v>
      </c>
    </row>
    <row r="38" spans="1:11" ht="15">
      <c r="A38" s="1098"/>
      <c r="B38" s="217">
        <v>397</v>
      </c>
      <c r="C38" s="218">
        <v>3.9100000000000003E-2</v>
      </c>
      <c r="D38" s="219">
        <v>0.68186831634107659</v>
      </c>
      <c r="E38" s="218">
        <f t="shared" si="3"/>
        <v>2.6661000000000001E-2</v>
      </c>
      <c r="F38" s="843"/>
      <c r="G38" s="218">
        <v>3.9300000000000002E-2</v>
      </c>
      <c r="H38" s="219">
        <v>0.31813168365892341</v>
      </c>
      <c r="I38" s="218">
        <f t="shared" si="4"/>
        <v>1.2503E-2</v>
      </c>
      <c r="J38" s="1099"/>
      <c r="K38" s="212">
        <f t="shared" si="5"/>
        <v>3.9199999999999999E-2</v>
      </c>
    </row>
    <row r="39" spans="1:11" ht="15">
      <c r="A39" s="1098"/>
      <c r="B39" s="217">
        <v>398</v>
      </c>
      <c r="C39" s="218">
        <v>3.32E-2</v>
      </c>
      <c r="D39" s="219">
        <v>0.68186831634107659</v>
      </c>
      <c r="E39" s="218">
        <f t="shared" si="3"/>
        <v>2.2637999999999998E-2</v>
      </c>
      <c r="F39" s="843"/>
      <c r="G39" s="218">
        <v>3.3500000000000002E-2</v>
      </c>
      <c r="H39" s="219">
        <v>0.31813168365892341</v>
      </c>
      <c r="I39" s="218">
        <f t="shared" si="4"/>
        <v>1.0657E-2</v>
      </c>
      <c r="J39" s="1099"/>
      <c r="K39" s="212">
        <f t="shared" si="5"/>
        <v>3.3300000000000003E-2</v>
      </c>
    </row>
    <row r="40" spans="1:11" ht="15.75" thickBot="1">
      <c r="A40" s="1025"/>
      <c r="B40" s="1026"/>
      <c r="C40" s="1027"/>
      <c r="D40" s="1028"/>
      <c r="E40" s="1029"/>
      <c r="F40" s="1026"/>
      <c r="G40" s="1029"/>
      <c r="H40" s="1028"/>
      <c r="I40" s="1029"/>
      <c r="J40" s="1026"/>
      <c r="K40" s="555"/>
    </row>
    <row r="41" spans="1:11" ht="15">
      <c r="A41" s="555"/>
      <c r="B41" s="555"/>
      <c r="C41" s="555"/>
      <c r="D41" s="555"/>
      <c r="E41" s="555"/>
      <c r="F41" s="555"/>
      <c r="G41" s="555"/>
      <c r="H41" s="555"/>
      <c r="I41" s="555"/>
      <c r="J41" s="555"/>
      <c r="K41" s="555"/>
    </row>
    <row r="42" spans="1:11" ht="15">
      <c r="A42" s="555"/>
      <c r="B42" s="555"/>
      <c r="C42" s="555"/>
      <c r="D42" s="555"/>
      <c r="E42" s="555"/>
      <c r="F42" s="555"/>
      <c r="G42" s="555"/>
      <c r="H42" s="555"/>
      <c r="I42" s="555"/>
      <c r="J42" s="555"/>
      <c r="K42" s="555"/>
    </row>
    <row r="43" spans="1:11" ht="15">
      <c r="A43" s="555"/>
      <c r="B43" s="843"/>
      <c r="C43" s="212"/>
      <c r="D43" s="555"/>
      <c r="E43" s="555"/>
      <c r="F43" s="555"/>
      <c r="G43" s="218"/>
      <c r="H43" s="555"/>
      <c r="I43" s="555"/>
      <c r="J43" s="555"/>
      <c r="K43" s="555"/>
    </row>
    <row r="44" spans="1:11" ht="15.75">
      <c r="A44" s="844" t="s">
        <v>1102</v>
      </c>
      <c r="B44" s="847"/>
      <c r="C44" s="220"/>
      <c r="D44" s="847"/>
      <c r="E44" s="555"/>
      <c r="F44" s="847"/>
      <c r="G44" s="555"/>
      <c r="H44" s="843"/>
      <c r="I44" s="555"/>
      <c r="J44" s="555"/>
      <c r="K44" s="555"/>
    </row>
    <row r="45" spans="1:11" ht="15.75">
      <c r="A45" s="844" t="s">
        <v>1103</v>
      </c>
      <c r="B45" s="847"/>
      <c r="C45" s="220"/>
      <c r="D45" s="847"/>
      <c r="E45" s="847"/>
      <c r="F45" s="847"/>
      <c r="G45" s="555"/>
      <c r="H45" s="843"/>
      <c r="I45" s="555"/>
      <c r="J45" s="555"/>
      <c r="K45" s="555"/>
    </row>
    <row r="46" spans="1:11" ht="15.75">
      <c r="A46" s="844" t="s">
        <v>1104</v>
      </c>
      <c r="B46" s="847"/>
      <c r="C46" s="220"/>
      <c r="D46" s="975"/>
      <c r="E46" s="975"/>
      <c r="F46" s="975"/>
      <c r="G46" s="555"/>
      <c r="H46" s="555"/>
      <c r="I46" s="555"/>
      <c r="J46" s="555"/>
      <c r="K46" s="555"/>
    </row>
    <row r="47" spans="1:11" ht="15">
      <c r="A47" s="1323" t="s">
        <v>771</v>
      </c>
      <c r="B47" s="1324"/>
      <c r="C47" s="1324"/>
      <c r="D47" s="1324"/>
      <c r="E47" s="1324"/>
      <c r="F47" s="1324"/>
      <c r="G47" s="1324"/>
      <c r="H47" s="1324"/>
      <c r="I47" s="1324"/>
      <c r="J47" s="1324"/>
      <c r="K47" s="555"/>
    </row>
    <row r="48" spans="1:11" ht="15">
      <c r="A48" s="1324"/>
      <c r="B48" s="1324"/>
      <c r="C48" s="1324"/>
      <c r="D48" s="1324"/>
      <c r="E48" s="1324"/>
      <c r="F48" s="1324"/>
      <c r="G48" s="1324"/>
      <c r="H48" s="1324"/>
      <c r="I48" s="1324"/>
      <c r="J48" s="1324"/>
      <c r="K48" s="555"/>
    </row>
    <row r="49" spans="1:11" ht="22.5" customHeight="1">
      <c r="A49" s="1324"/>
      <c r="B49" s="1324"/>
      <c r="C49" s="1324"/>
      <c r="D49" s="1324"/>
      <c r="E49" s="1324"/>
      <c r="F49" s="1324"/>
      <c r="G49" s="1324"/>
      <c r="H49" s="1324"/>
      <c r="I49" s="1324"/>
      <c r="J49" s="1324"/>
      <c r="K49" s="555"/>
    </row>
    <row r="50" spans="1:11" ht="15.75">
      <c r="A50" s="555"/>
      <c r="B50" s="847"/>
      <c r="C50" s="220"/>
      <c r="D50" s="975"/>
      <c r="E50" s="975"/>
      <c r="F50" s="975"/>
      <c r="G50" s="218"/>
      <c r="H50" s="555"/>
      <c r="I50" s="555"/>
      <c r="J50" s="555"/>
      <c r="K50" s="555"/>
    </row>
    <row r="51" spans="1:11" ht="15.75">
      <c r="A51" s="848" t="s">
        <v>413</v>
      </c>
      <c r="B51" s="843"/>
      <c r="C51" s="212"/>
      <c r="D51" s="555"/>
      <c r="E51" s="555"/>
      <c r="F51" s="555"/>
      <c r="G51" s="218"/>
      <c r="H51" s="555"/>
      <c r="I51" s="555"/>
      <c r="J51" s="555"/>
      <c r="K51" s="555"/>
    </row>
    <row r="52" spans="1:11" ht="15">
      <c r="A52" s="1101" t="s">
        <v>29</v>
      </c>
      <c r="B52" s="1102"/>
      <c r="C52" s="1102"/>
      <c r="D52" s="1103"/>
      <c r="E52" s="555"/>
      <c r="F52" s="555"/>
      <c r="G52" s="218"/>
      <c r="H52" s="555"/>
      <c r="I52" s="555"/>
      <c r="J52" s="555"/>
      <c r="K52" s="555"/>
    </row>
    <row r="53" spans="1:11" ht="15">
      <c r="A53" s="1325" t="s">
        <v>772</v>
      </c>
      <c r="B53" s="1325"/>
      <c r="C53" s="1325"/>
      <c r="D53" s="1325"/>
      <c r="E53" s="1325"/>
      <c r="F53" s="1325"/>
      <c r="G53" s="1325"/>
      <c r="H53" s="1325"/>
      <c r="I53" s="1325"/>
      <c r="J53" s="1325"/>
      <c r="K53" s="555"/>
    </row>
    <row r="54" spans="1:11" ht="15">
      <c r="A54" s="1325"/>
      <c r="B54" s="1325"/>
      <c r="C54" s="1325"/>
      <c r="D54" s="1325"/>
      <c r="E54" s="1325"/>
      <c r="F54" s="1325"/>
      <c r="G54" s="1325"/>
      <c r="H54" s="1325"/>
      <c r="I54" s="1325"/>
      <c r="J54" s="1325"/>
      <c r="K54" s="555"/>
    </row>
    <row r="55" spans="1:11" ht="15">
      <c r="A55" s="1321" t="s">
        <v>816</v>
      </c>
      <c r="B55" s="1321"/>
      <c r="C55" s="1321"/>
      <c r="D55" s="1321"/>
      <c r="E55" s="1321"/>
      <c r="F55" s="1321"/>
      <c r="G55" s="1321"/>
      <c r="H55" s="1321"/>
      <c r="I55" s="1321"/>
      <c r="J55" s="1321"/>
      <c r="K55" s="555"/>
    </row>
    <row r="56" spans="1:11" ht="15">
      <c r="A56" s="1321"/>
      <c r="B56" s="1321"/>
      <c r="C56" s="1321"/>
      <c r="D56" s="1321"/>
      <c r="E56" s="1321"/>
      <c r="F56" s="1321"/>
      <c r="G56" s="1321"/>
      <c r="H56" s="1321"/>
      <c r="I56" s="1321"/>
      <c r="J56" s="1321"/>
      <c r="K56" s="555"/>
    </row>
    <row r="57" spans="1:11" ht="15">
      <c r="A57" s="555"/>
      <c r="B57" s="555"/>
      <c r="C57" s="555"/>
      <c r="D57" s="555"/>
      <c r="E57" s="555"/>
      <c r="F57" s="555"/>
      <c r="G57" s="218"/>
      <c r="H57" s="555"/>
      <c r="I57" s="555"/>
      <c r="J57" s="555"/>
      <c r="K57" s="555"/>
    </row>
    <row r="58" spans="1:11" ht="15">
      <c r="A58" s="555"/>
      <c r="B58" s="555"/>
      <c r="C58" s="555"/>
      <c r="D58" s="555"/>
      <c r="E58" s="555"/>
      <c r="F58" s="555"/>
      <c r="G58" s="218"/>
      <c r="H58" s="555"/>
      <c r="I58" s="555"/>
      <c r="J58" s="555"/>
      <c r="K58" s="555"/>
    </row>
    <row r="59" spans="1:11" ht="15">
      <c r="A59" s="555"/>
      <c r="B59" s="555"/>
      <c r="C59" s="555"/>
      <c r="D59" s="555"/>
      <c r="E59" s="555"/>
      <c r="F59" s="555"/>
      <c r="G59" s="218"/>
      <c r="H59" s="555"/>
      <c r="I59" s="555"/>
      <c r="J59" s="555"/>
      <c r="K59" s="555"/>
    </row>
  </sheetData>
  <mergeCells count="13">
    <mergeCell ref="A8:K8"/>
    <mergeCell ref="A3:K3"/>
    <mergeCell ref="A4:K4"/>
    <mergeCell ref="A5:K5"/>
    <mergeCell ref="A6:K6"/>
    <mergeCell ref="A7:K7"/>
    <mergeCell ref="A55:J56"/>
    <mergeCell ref="A9:K9"/>
    <mergeCell ref="A10:K10"/>
    <mergeCell ref="C11:E11"/>
    <mergeCell ref="G11:I11"/>
    <mergeCell ref="A47:J49"/>
    <mergeCell ref="A53:J54"/>
  </mergeCells>
  <conditionalFormatting sqref="A3 A4:K9 A10 A51:J52 A53">
    <cfRule type="cellIs" dxfId="4" priority="1" stopIfTrue="1" operator="lessThan">
      <formula>0</formula>
    </cfRule>
  </conditionalFormatting>
  <pageMargins left="0.7" right="0.7" top="0.75" bottom="0.75" header="0.3" footer="0.3"/>
  <pageSetup scale="4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G49"/>
  <sheetViews>
    <sheetView tabSelected="1" view="pageBreakPreview" zoomScale="60" zoomScaleNormal="70" workbookViewId="0">
      <selection activeCell="D11" sqref="D11"/>
    </sheetView>
  </sheetViews>
  <sheetFormatPr defaultColWidth="9.140625" defaultRowHeight="12.75"/>
  <cols>
    <col min="1" max="1" width="33.5703125" style="842" customWidth="1"/>
    <col min="2" max="2" width="17.140625" style="842" customWidth="1"/>
    <col min="3" max="3" width="23.42578125" style="842" customWidth="1"/>
    <col min="4" max="4" width="9.140625" style="842"/>
    <col min="5" max="5" width="21.85546875" style="842" customWidth="1"/>
    <col min="6" max="16384" width="9.140625" style="842"/>
  </cols>
  <sheetData>
    <row r="1" spans="1:7" s="555" customFormat="1" ht="15.75">
      <c r="A1" s="657" t="s">
        <v>114</v>
      </c>
      <c r="G1" s="218"/>
    </row>
    <row r="2" spans="1:7" s="555" customFormat="1" ht="15.75">
      <c r="A2" s="657" t="s">
        <v>114</v>
      </c>
      <c r="G2" s="218"/>
    </row>
    <row r="3" spans="1:7" ht="19.5">
      <c r="A3" s="555"/>
      <c r="B3" s="1328" t="s">
        <v>391</v>
      </c>
      <c r="C3" s="1328"/>
      <c r="D3" s="1328"/>
      <c r="E3" s="1328"/>
    </row>
    <row r="4" spans="1:7" ht="19.5">
      <c r="A4" s="555"/>
      <c r="B4" s="1328" t="s">
        <v>773</v>
      </c>
      <c r="C4" s="1328"/>
      <c r="D4" s="1328"/>
      <c r="E4" s="1328"/>
    </row>
    <row r="5" spans="1:7" ht="19.5">
      <c r="A5" s="555"/>
      <c r="B5" s="1328" t="s">
        <v>774</v>
      </c>
      <c r="C5" s="1328"/>
      <c r="D5" s="1328"/>
      <c r="E5" s="1328"/>
    </row>
    <row r="6" spans="1:7" ht="19.5">
      <c r="A6" s="555"/>
      <c r="B6" s="1328" t="s">
        <v>775</v>
      </c>
      <c r="C6" s="1328"/>
      <c r="D6" s="1328"/>
      <c r="E6" s="1328"/>
    </row>
    <row r="7" spans="1:7" ht="19.5">
      <c r="A7" s="555"/>
      <c r="B7" s="1328" t="s">
        <v>776</v>
      </c>
      <c r="C7" s="1328"/>
      <c r="D7" s="1328"/>
      <c r="E7" s="1328"/>
    </row>
    <row r="8" spans="1:7" ht="19.5">
      <c r="A8" s="555"/>
      <c r="B8" s="1328" t="s">
        <v>777</v>
      </c>
      <c r="C8" s="1328"/>
      <c r="D8" s="1328"/>
      <c r="E8" s="1328"/>
    </row>
    <row r="9" spans="1:7" ht="15">
      <c r="A9" s="555"/>
      <c r="B9" s="843"/>
      <c r="C9" s="843"/>
      <c r="D9" s="558" t="s">
        <v>114</v>
      </c>
      <c r="E9" s="555"/>
    </row>
    <row r="10" spans="1:7" ht="15.75">
      <c r="A10" s="843"/>
      <c r="B10" s="849" t="s">
        <v>399</v>
      </c>
      <c r="C10" s="555"/>
      <c r="D10" s="555"/>
      <c r="E10" s="850"/>
    </row>
    <row r="11" spans="1:7" ht="15.75">
      <c r="A11" s="558"/>
      <c r="B11" s="849" t="s">
        <v>403</v>
      </c>
      <c r="C11" s="849" t="s">
        <v>404</v>
      </c>
      <c r="D11" s="849"/>
      <c r="E11" s="555"/>
    </row>
    <row r="12" spans="1:7" ht="15.75" thickBot="1">
      <c r="A12" s="845"/>
      <c r="B12" s="843"/>
      <c r="C12" s="851" t="s">
        <v>499</v>
      </c>
      <c r="D12" s="555"/>
      <c r="E12" s="555"/>
    </row>
    <row r="13" spans="1:7" ht="15">
      <c r="A13" s="565" t="s">
        <v>406</v>
      </c>
      <c r="B13" s="846"/>
      <c r="C13" s="213"/>
      <c r="D13" s="555"/>
      <c r="E13" s="555"/>
    </row>
    <row r="14" spans="1:7" ht="15">
      <c r="A14" s="555"/>
      <c r="B14" s="852"/>
      <c r="C14" s="212"/>
      <c r="D14" s="853"/>
      <c r="E14" s="555"/>
    </row>
    <row r="15" spans="1:7" ht="15">
      <c r="A15" s="555" t="s">
        <v>407</v>
      </c>
      <c r="B15" s="217">
        <v>352</v>
      </c>
      <c r="C15" s="212">
        <v>1.04E-2</v>
      </c>
      <c r="D15" s="853"/>
      <c r="E15" s="555"/>
    </row>
    <row r="16" spans="1:7" ht="15">
      <c r="A16" s="555" t="s">
        <v>408</v>
      </c>
      <c r="B16" s="217">
        <v>353</v>
      </c>
      <c r="C16" s="212">
        <v>1.49E-2</v>
      </c>
      <c r="D16" s="853"/>
      <c r="E16" s="555"/>
    </row>
    <row r="17" spans="1:5" ht="15">
      <c r="A17" s="555" t="s">
        <v>409</v>
      </c>
      <c r="B17" s="217">
        <v>354</v>
      </c>
      <c r="C17" s="212">
        <v>1.1999999999999999E-3</v>
      </c>
      <c r="D17" s="853"/>
      <c r="E17" s="555"/>
    </row>
    <row r="18" spans="1:5" ht="15">
      <c r="A18" s="555" t="s">
        <v>410</v>
      </c>
      <c r="B18" s="217">
        <v>355</v>
      </c>
      <c r="C18" s="212">
        <v>2.1399999999999999E-2</v>
      </c>
      <c r="D18" s="853"/>
      <c r="E18" s="555"/>
    </row>
    <row r="19" spans="1:5" ht="15">
      <c r="A19" s="555" t="s">
        <v>769</v>
      </c>
      <c r="B19" s="217">
        <v>356</v>
      </c>
      <c r="C19" s="212">
        <v>7.7000000000000002E-3</v>
      </c>
      <c r="D19" s="853"/>
      <c r="E19" s="555"/>
    </row>
    <row r="20" spans="1:5" ht="15">
      <c r="A20" s="555" t="s">
        <v>411</v>
      </c>
      <c r="B20" s="217">
        <v>357</v>
      </c>
      <c r="C20" s="854" t="s">
        <v>613</v>
      </c>
      <c r="D20" s="555"/>
      <c r="E20" s="555"/>
    </row>
    <row r="21" spans="1:5" ht="15">
      <c r="A21" s="555" t="s">
        <v>412</v>
      </c>
      <c r="B21" s="217">
        <v>358</v>
      </c>
      <c r="C21" s="854" t="s">
        <v>613</v>
      </c>
      <c r="D21" s="853"/>
      <c r="E21" s="555"/>
    </row>
    <row r="22" spans="1:5" ht="15.75">
      <c r="A22" s="844" t="s">
        <v>778</v>
      </c>
      <c r="B22" s="855"/>
      <c r="C22" s="856">
        <v>1.46E-2</v>
      </c>
      <c r="D22" s="853"/>
      <c r="E22" s="555"/>
    </row>
    <row r="23" spans="1:5" ht="15.75">
      <c r="A23" s="844"/>
      <c r="B23" s="855"/>
      <c r="C23" s="856"/>
      <c r="D23" s="853"/>
      <c r="E23" s="555"/>
    </row>
    <row r="24" spans="1:5" customFormat="1" ht="15.75">
      <c r="A24" s="472" t="s">
        <v>800</v>
      </c>
      <c r="C24" s="1"/>
    </row>
    <row r="25" spans="1:5" customFormat="1">
      <c r="C25" s="1"/>
    </row>
    <row r="26" spans="1:5" customFormat="1" ht="15">
      <c r="A26" s="860" t="s">
        <v>801</v>
      </c>
      <c r="B26" s="864">
        <v>390</v>
      </c>
      <c r="C26" s="863">
        <v>1.7100000000000001E-2</v>
      </c>
    </row>
    <row r="27" spans="1:5" customFormat="1" ht="15">
      <c r="A27" s="860" t="s">
        <v>802</v>
      </c>
      <c r="B27" s="864">
        <v>391</v>
      </c>
      <c r="C27" s="863">
        <v>2.8199999999999999E-2</v>
      </c>
    </row>
    <row r="28" spans="1:5" customFormat="1" ht="15">
      <c r="A28" s="860" t="s">
        <v>803</v>
      </c>
      <c r="B28" s="864">
        <v>393</v>
      </c>
      <c r="C28" s="863">
        <v>2.2200000000000001E-2</v>
      </c>
    </row>
    <row r="29" spans="1:5" customFormat="1" ht="15">
      <c r="A29" s="860" t="s">
        <v>804</v>
      </c>
      <c r="B29" s="864">
        <v>394</v>
      </c>
      <c r="C29" s="863">
        <v>3.1199999999999999E-2</v>
      </c>
    </row>
    <row r="30" spans="1:5" customFormat="1" ht="15">
      <c r="A30" s="860" t="s">
        <v>805</v>
      </c>
      <c r="B30" s="864">
        <v>395</v>
      </c>
      <c r="C30" s="863">
        <v>3.1699999999999999E-2</v>
      </c>
    </row>
    <row r="31" spans="1:5" customFormat="1" ht="15">
      <c r="A31" s="860" t="s">
        <v>806</v>
      </c>
      <c r="B31" s="864">
        <v>397</v>
      </c>
      <c r="C31" s="863">
        <v>3.32E-2</v>
      </c>
    </row>
    <row r="32" spans="1:5" customFormat="1" ht="15">
      <c r="A32" s="860" t="s">
        <v>807</v>
      </c>
      <c r="B32" s="864">
        <v>398</v>
      </c>
      <c r="C32" s="863">
        <v>4.9200000000000001E-2</v>
      </c>
    </row>
    <row r="33" spans="1:5" customFormat="1" ht="15">
      <c r="A33" s="28"/>
      <c r="B33" s="860"/>
      <c r="C33" s="863"/>
    </row>
    <row r="34" spans="1:5" customFormat="1" ht="15.75">
      <c r="A34" s="28"/>
      <c r="B34" s="862" t="s">
        <v>808</v>
      </c>
      <c r="C34" s="863">
        <v>3.2500000000000001E-2</v>
      </c>
    </row>
    <row r="35" spans="1:5" customFormat="1" ht="15.75">
      <c r="A35" s="28"/>
      <c r="B35" s="862"/>
      <c r="C35" s="861"/>
    </row>
    <row r="36" spans="1:5" ht="15.75">
      <c r="A36" s="555" t="s">
        <v>779</v>
      </c>
      <c r="B36" s="847"/>
      <c r="C36" s="220"/>
      <c r="D36" s="555"/>
      <c r="E36" s="555"/>
    </row>
    <row r="37" spans="1:5" ht="15">
      <c r="A37" s="1326"/>
      <c r="B37" s="1326"/>
      <c r="C37" s="1326"/>
      <c r="D37" s="1326"/>
      <c r="E37" s="555"/>
    </row>
    <row r="38" spans="1:5" ht="15">
      <c r="A38" s="1326" t="s">
        <v>780</v>
      </c>
      <c r="B38" s="1326"/>
      <c r="C38" s="1326"/>
      <c r="D38" s="1326"/>
      <c r="E38" s="555"/>
    </row>
    <row r="39" spans="1:5" ht="15">
      <c r="A39" s="555" t="s">
        <v>158</v>
      </c>
      <c r="B39" s="555"/>
      <c r="C39" s="555"/>
      <c r="D39" s="555"/>
      <c r="E39" s="555"/>
    </row>
    <row r="40" spans="1:5" ht="15">
      <c r="A40" s="1326" t="s">
        <v>781</v>
      </c>
      <c r="B40" s="1326"/>
      <c r="C40" s="1326"/>
      <c r="D40" s="555"/>
      <c r="E40" s="555"/>
    </row>
    <row r="41" spans="1:5" ht="15">
      <c r="A41" s="1326"/>
      <c r="B41" s="1326"/>
      <c r="C41" s="1326"/>
      <c r="D41" s="555"/>
      <c r="E41" s="555"/>
    </row>
    <row r="42" spans="1:5" ht="15">
      <c r="A42" s="555"/>
      <c r="B42" s="843"/>
      <c r="C42" s="212"/>
      <c r="D42" s="555"/>
      <c r="E42" s="555"/>
    </row>
    <row r="43" spans="1:5" ht="15">
      <c r="A43" s="1326"/>
      <c r="B43" s="1326"/>
      <c r="C43" s="1326"/>
      <c r="D43" s="1326"/>
      <c r="E43" s="555"/>
    </row>
    <row r="44" spans="1:5" ht="15.75">
      <c r="A44" s="848" t="s">
        <v>782</v>
      </c>
      <c r="B44" s="843"/>
      <c r="C44" s="212"/>
      <c r="D44" s="555"/>
      <c r="E44" s="555"/>
    </row>
    <row r="45" spans="1:5" ht="15">
      <c r="A45" s="1327" t="s">
        <v>816</v>
      </c>
      <c r="B45" s="1327"/>
      <c r="C45" s="1327"/>
      <c r="D45" s="850"/>
      <c r="E45" s="555"/>
    </row>
    <row r="46" spans="1:5" ht="15">
      <c r="A46" s="1327"/>
      <c r="B46" s="1327"/>
      <c r="C46" s="1327"/>
      <c r="D46" s="850"/>
      <c r="E46" s="555"/>
    </row>
    <row r="47" spans="1:5" ht="15">
      <c r="A47" s="1327"/>
      <c r="B47" s="1327"/>
      <c r="C47" s="1327"/>
      <c r="D47" s="850"/>
      <c r="E47" s="555"/>
    </row>
    <row r="48" spans="1:5" ht="15">
      <c r="A48" s="1327"/>
      <c r="B48" s="1327"/>
      <c r="C48" s="1327"/>
      <c r="D48" s="850"/>
      <c r="E48" s="555"/>
    </row>
    <row r="49" spans="1:5" ht="15">
      <c r="A49" s="1327"/>
      <c r="B49" s="1327"/>
      <c r="C49" s="1327"/>
      <c r="D49" s="850"/>
      <c r="E49" s="555"/>
    </row>
  </sheetData>
  <mergeCells count="11">
    <mergeCell ref="B8:E8"/>
    <mergeCell ref="B3:E3"/>
    <mergeCell ref="B4:E4"/>
    <mergeCell ref="B5:E5"/>
    <mergeCell ref="B6:E6"/>
    <mergeCell ref="B7:E7"/>
    <mergeCell ref="A37:D37"/>
    <mergeCell ref="A38:D38"/>
    <mergeCell ref="A40:C41"/>
    <mergeCell ref="A43:D43"/>
    <mergeCell ref="A45:C49"/>
  </mergeCells>
  <conditionalFormatting sqref="B3:E4">
    <cfRule type="cellIs" dxfId="3" priority="1" stopIfTrue="1" operator="lessThan">
      <formula>0</formula>
    </cfRule>
  </conditionalFormatting>
  <pageMargins left="0.7" right="0.7" top="0.75" bottom="0.75" header="0.3" footer="0.3"/>
  <pageSetup scale="8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G33"/>
  <sheetViews>
    <sheetView tabSelected="1" view="pageBreakPreview" zoomScale="60" zoomScaleNormal="70" workbookViewId="0">
      <selection activeCell="D11" sqref="D11"/>
    </sheetView>
  </sheetViews>
  <sheetFormatPr defaultColWidth="9.140625" defaultRowHeight="12.75"/>
  <cols>
    <col min="1" max="1" width="9.140625" style="842"/>
    <col min="2" max="2" width="38.5703125" style="842" customWidth="1"/>
    <col min="3" max="3" width="21.85546875" style="842" customWidth="1"/>
    <col min="4" max="4" width="25.85546875" style="842" customWidth="1"/>
    <col min="5" max="16384" width="9.140625" style="842"/>
  </cols>
  <sheetData>
    <row r="1" spans="1:7" s="555" customFormat="1" ht="15.75">
      <c r="A1" s="657" t="s">
        <v>114</v>
      </c>
      <c r="G1" s="218"/>
    </row>
    <row r="2" spans="1:7" s="555" customFormat="1" ht="15.75">
      <c r="A2" s="657" t="s">
        <v>114</v>
      </c>
      <c r="G2" s="218"/>
    </row>
    <row r="3" spans="1:7" ht="19.5">
      <c r="A3" s="555"/>
      <c r="B3" s="1328" t="s">
        <v>391</v>
      </c>
      <c r="C3" s="1328"/>
      <c r="D3" s="1328"/>
      <c r="E3" s="1328"/>
    </row>
    <row r="4" spans="1:7" ht="19.5">
      <c r="A4" s="555"/>
      <c r="B4" s="1328" t="s">
        <v>773</v>
      </c>
      <c r="C4" s="1328"/>
      <c r="D4" s="1328"/>
      <c r="E4" s="1328"/>
    </row>
    <row r="5" spans="1:7" ht="19.5">
      <c r="A5" s="555"/>
      <c r="B5" s="1328" t="s">
        <v>774</v>
      </c>
      <c r="C5" s="1328"/>
      <c r="D5" s="1328"/>
      <c r="E5" s="1328"/>
    </row>
    <row r="6" spans="1:7" ht="19.5">
      <c r="A6" s="555"/>
      <c r="B6" s="1328" t="s">
        <v>783</v>
      </c>
      <c r="C6" s="1328"/>
      <c r="D6" s="1328"/>
      <c r="E6" s="1328"/>
    </row>
    <row r="7" spans="1:7" ht="19.5">
      <c r="A7" s="555"/>
      <c r="B7" s="1328" t="s">
        <v>776</v>
      </c>
      <c r="C7" s="1328"/>
      <c r="D7" s="1328"/>
      <c r="E7" s="1328"/>
    </row>
    <row r="8" spans="1:7" ht="19.5">
      <c r="A8" s="555"/>
      <c r="B8" s="1328" t="s">
        <v>784</v>
      </c>
      <c r="C8" s="1328"/>
      <c r="D8" s="1328"/>
      <c r="E8" s="1328"/>
    </row>
    <row r="9" spans="1:7" ht="15">
      <c r="A9" s="555"/>
      <c r="B9" s="843"/>
      <c r="C9" s="843"/>
      <c r="D9" s="558" t="s">
        <v>114</v>
      </c>
      <c r="E9" s="555"/>
    </row>
    <row r="10" spans="1:7" ht="15.75">
      <c r="A10" s="555"/>
      <c r="B10" s="843"/>
      <c r="C10" s="849" t="s">
        <v>399</v>
      </c>
      <c r="D10" s="555"/>
      <c r="E10" s="555"/>
    </row>
    <row r="11" spans="1:7" ht="15.75">
      <c r="A11" s="555"/>
      <c r="B11" s="558"/>
      <c r="C11" s="849" t="s">
        <v>403</v>
      </c>
      <c r="D11" s="849" t="s">
        <v>404</v>
      </c>
      <c r="E11" s="849"/>
    </row>
    <row r="12" spans="1:7" ht="15.75" thickBot="1">
      <c r="A12" s="555"/>
      <c r="B12" s="845"/>
      <c r="C12" s="843"/>
      <c r="D12" s="851" t="s">
        <v>499</v>
      </c>
      <c r="E12" s="555"/>
    </row>
    <row r="13" spans="1:7" ht="15">
      <c r="A13" s="555"/>
      <c r="B13" s="565" t="s">
        <v>406</v>
      </c>
      <c r="C13" s="846"/>
      <c r="D13" s="213"/>
      <c r="E13" s="555"/>
    </row>
    <row r="14" spans="1:7" ht="15">
      <c r="A14" s="555"/>
      <c r="B14" s="555"/>
      <c r="C14" s="852"/>
      <c r="D14" s="212"/>
      <c r="E14" s="853"/>
    </row>
    <row r="15" spans="1:7" ht="15">
      <c r="A15" s="555"/>
      <c r="B15" s="555" t="s">
        <v>785</v>
      </c>
      <c r="C15" s="555">
        <v>350.1</v>
      </c>
      <c r="D15" s="212">
        <v>1.44E-2</v>
      </c>
      <c r="E15" s="853"/>
    </row>
    <row r="16" spans="1:7" ht="15">
      <c r="A16" s="555"/>
      <c r="B16" s="555" t="s">
        <v>407</v>
      </c>
      <c r="C16" s="217">
        <v>352</v>
      </c>
      <c r="D16" s="212">
        <v>2.0799999999999999E-2</v>
      </c>
      <c r="E16" s="853"/>
    </row>
    <row r="17" spans="1:5" ht="15">
      <c r="A17" s="555"/>
      <c r="B17" s="555" t="s">
        <v>408</v>
      </c>
      <c r="C17" s="217">
        <v>353</v>
      </c>
      <c r="D17" s="212">
        <v>2.1499999999999998E-2</v>
      </c>
      <c r="E17" s="853"/>
    </row>
    <row r="18" spans="1:5" ht="15">
      <c r="A18" s="555"/>
      <c r="B18" s="555" t="s">
        <v>409</v>
      </c>
      <c r="C18" s="217">
        <v>354</v>
      </c>
      <c r="D18" s="212">
        <v>2.6100000000000002E-2</v>
      </c>
      <c r="E18" s="853"/>
    </row>
    <row r="19" spans="1:5" ht="15">
      <c r="A19" s="555"/>
      <c r="B19" s="555" t="s">
        <v>410</v>
      </c>
      <c r="C19" s="217">
        <v>355</v>
      </c>
      <c r="D19" s="212">
        <v>3.95E-2</v>
      </c>
      <c r="E19" s="853"/>
    </row>
    <row r="20" spans="1:5" ht="15">
      <c r="A20" s="555"/>
      <c r="B20" s="555" t="s">
        <v>769</v>
      </c>
      <c r="C20" s="217">
        <v>356</v>
      </c>
      <c r="D20" s="212">
        <v>2.9100000000000001E-2</v>
      </c>
      <c r="E20" s="853"/>
    </row>
    <row r="21" spans="1:5" ht="15">
      <c r="A21" s="555"/>
      <c r="B21" s="555" t="s">
        <v>411</v>
      </c>
      <c r="C21" s="217">
        <v>357</v>
      </c>
      <c r="D21" s="212">
        <v>2.9899999999999999E-2</v>
      </c>
      <c r="E21" s="853"/>
    </row>
    <row r="22" spans="1:5" ht="15">
      <c r="A22" s="555"/>
      <c r="B22" s="555" t="s">
        <v>412</v>
      </c>
      <c r="C22" s="217">
        <v>358</v>
      </c>
      <c r="D22" s="212">
        <v>2.6200000000000001E-2</v>
      </c>
      <c r="E22" s="853"/>
    </row>
    <row r="23" spans="1:5" ht="15">
      <c r="A23" s="555"/>
      <c r="B23" s="555"/>
      <c r="C23" s="843"/>
      <c r="D23" s="212"/>
      <c r="E23" s="555"/>
    </row>
    <row r="24" spans="1:5" ht="15.75">
      <c r="A24" s="555"/>
      <c r="B24" s="555" t="s">
        <v>779</v>
      </c>
      <c r="C24" s="847"/>
      <c r="D24" s="220"/>
      <c r="E24" s="555"/>
    </row>
    <row r="25" spans="1:5" ht="15">
      <c r="A25" s="555"/>
      <c r="B25" s="1326"/>
      <c r="C25" s="1326"/>
      <c r="D25" s="1326"/>
      <c r="E25" s="1326"/>
    </row>
    <row r="26" spans="1:5" ht="15">
      <c r="A26" s="555"/>
      <c r="B26" s="1326" t="s">
        <v>786</v>
      </c>
      <c r="C26" s="1326"/>
      <c r="D26" s="1326"/>
      <c r="E26" s="1326"/>
    </row>
    <row r="27" spans="1:5" ht="15">
      <c r="A27" s="555"/>
      <c r="B27" s="1326"/>
      <c r="C27" s="1326"/>
      <c r="D27" s="1326"/>
      <c r="E27" s="1326"/>
    </row>
    <row r="28" spans="1:5" ht="15.75">
      <c r="A28" s="555"/>
      <c r="B28" s="848" t="s">
        <v>782</v>
      </c>
      <c r="C28" s="843"/>
      <c r="D28" s="212"/>
      <c r="E28" s="555"/>
    </row>
    <row r="29" spans="1:5" ht="15">
      <c r="A29" s="555"/>
      <c r="B29" s="1327" t="s">
        <v>816</v>
      </c>
      <c r="C29" s="1327"/>
      <c r="D29" s="1327"/>
      <c r="E29" s="850"/>
    </row>
    <row r="30" spans="1:5" ht="15">
      <c r="A30" s="555"/>
      <c r="B30" s="1327"/>
      <c r="C30" s="1327"/>
      <c r="D30" s="1327"/>
      <c r="E30" s="850"/>
    </row>
    <row r="31" spans="1:5" ht="15">
      <c r="A31" s="555"/>
      <c r="B31" s="1327"/>
      <c r="C31" s="1327"/>
      <c r="D31" s="1327"/>
      <c r="E31" s="850"/>
    </row>
    <row r="32" spans="1:5" ht="15">
      <c r="A32" s="555"/>
      <c r="B32" s="1327"/>
      <c r="C32" s="1327"/>
      <c r="D32" s="1327"/>
      <c r="E32" s="850"/>
    </row>
    <row r="33" spans="1:5" ht="15">
      <c r="A33" s="555"/>
      <c r="B33" s="1327"/>
      <c r="C33" s="1327"/>
      <c r="D33" s="1327"/>
      <c r="E33" s="850"/>
    </row>
  </sheetData>
  <mergeCells count="10">
    <mergeCell ref="B25:E25"/>
    <mergeCell ref="B26:E26"/>
    <mergeCell ref="B27:E27"/>
    <mergeCell ref="B29:D33"/>
    <mergeCell ref="B3:E3"/>
    <mergeCell ref="B4:E4"/>
    <mergeCell ref="B5:E5"/>
    <mergeCell ref="B6:E6"/>
    <mergeCell ref="B7:E7"/>
    <mergeCell ref="B8:E8"/>
  </mergeCells>
  <conditionalFormatting sqref="B3:E4">
    <cfRule type="cellIs" dxfId="2" priority="1" stopIfTrue="1" operator="lessThan">
      <formula>0</formula>
    </cfRule>
  </conditionalFormatting>
  <pageMargins left="0.7" right="0.7" top="0.75" bottom="0.75" header="0.3" footer="0.3"/>
  <pageSetup scale="8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G47"/>
  <sheetViews>
    <sheetView tabSelected="1" view="pageBreakPreview" zoomScale="60" zoomScaleNormal="70" workbookViewId="0">
      <selection activeCell="D11" sqref="D11"/>
    </sheetView>
  </sheetViews>
  <sheetFormatPr defaultColWidth="9.140625" defaultRowHeight="12.75"/>
  <cols>
    <col min="1" max="1" width="38.85546875" style="842" customWidth="1"/>
    <col min="2" max="2" width="28.42578125" style="842" customWidth="1"/>
    <col min="3" max="3" width="23.140625" style="842" customWidth="1"/>
    <col min="4" max="16384" width="9.140625" style="842"/>
  </cols>
  <sheetData>
    <row r="1" spans="1:7" s="555" customFormat="1" ht="15.75">
      <c r="A1" s="657" t="s">
        <v>114</v>
      </c>
      <c r="G1" s="218"/>
    </row>
    <row r="2" spans="1:7" s="555" customFormat="1" ht="15.75">
      <c r="A2" s="657" t="s">
        <v>114</v>
      </c>
      <c r="G2" s="218"/>
    </row>
    <row r="3" spans="1:7" ht="19.5">
      <c r="A3" s="1328" t="s">
        <v>391</v>
      </c>
      <c r="B3" s="1328"/>
      <c r="C3" s="1328"/>
      <c r="D3" s="1328"/>
    </row>
    <row r="4" spans="1:7" ht="19.5">
      <c r="A4" s="1328" t="s">
        <v>773</v>
      </c>
      <c r="B4" s="1328"/>
      <c r="C4" s="1328"/>
      <c r="D4" s="1328"/>
    </row>
    <row r="5" spans="1:7" ht="19.5">
      <c r="A5" s="1328" t="s">
        <v>774</v>
      </c>
      <c r="B5" s="1328"/>
      <c r="C5" s="1328"/>
      <c r="D5" s="1328"/>
    </row>
    <row r="6" spans="1:7" ht="19.5">
      <c r="A6" s="1328" t="s">
        <v>1188</v>
      </c>
      <c r="B6" s="1328"/>
      <c r="C6" s="1328"/>
      <c r="D6" s="1328"/>
    </row>
    <row r="7" spans="1:7" ht="19.5">
      <c r="A7" s="1328" t="s">
        <v>776</v>
      </c>
      <c r="B7" s="1328"/>
      <c r="C7" s="1328"/>
      <c r="D7" s="1328"/>
    </row>
    <row r="8" spans="1:7" ht="19.5">
      <c r="A8" s="1328" t="s">
        <v>787</v>
      </c>
      <c r="B8" s="1328"/>
      <c r="C8" s="1328"/>
      <c r="D8" s="1328"/>
    </row>
    <row r="9" spans="1:7" ht="15">
      <c r="A9" s="843"/>
      <c r="B9" s="843"/>
      <c r="C9" s="558" t="s">
        <v>114</v>
      </c>
      <c r="D9" s="555"/>
    </row>
    <row r="10" spans="1:7" ht="15.75">
      <c r="A10" s="843"/>
      <c r="B10" s="849" t="s">
        <v>399</v>
      </c>
      <c r="C10" s="555"/>
      <c r="D10" s="555"/>
    </row>
    <row r="11" spans="1:7" ht="15.75">
      <c r="A11" s="558"/>
      <c r="B11" s="849" t="s">
        <v>403</v>
      </c>
      <c r="C11" s="849" t="s">
        <v>404</v>
      </c>
      <c r="D11" s="849"/>
    </row>
    <row r="12" spans="1:7" ht="15.75" thickBot="1">
      <c r="A12" s="845"/>
      <c r="B12" s="843"/>
      <c r="C12" s="851" t="s">
        <v>499</v>
      </c>
      <c r="D12" s="555"/>
    </row>
    <row r="13" spans="1:7" ht="15">
      <c r="A13" s="565" t="s">
        <v>406</v>
      </c>
      <c r="B13" s="846"/>
      <c r="C13" s="213"/>
      <c r="D13" s="555"/>
    </row>
    <row r="14" spans="1:7" ht="15">
      <c r="A14" s="555" t="s">
        <v>407</v>
      </c>
      <c r="B14" s="217">
        <v>352</v>
      </c>
      <c r="C14" s="212">
        <v>2.0199999999999999E-2</v>
      </c>
      <c r="D14" s="853"/>
    </row>
    <row r="15" spans="1:7" ht="15">
      <c r="A15" s="555" t="s">
        <v>408</v>
      </c>
      <c r="B15" s="217">
        <v>353</v>
      </c>
      <c r="C15" s="212">
        <v>2.29E-2</v>
      </c>
      <c r="D15" s="853"/>
    </row>
    <row r="16" spans="1:7" ht="15">
      <c r="A16" s="852"/>
      <c r="B16" s="217"/>
      <c r="C16" s="212"/>
      <c r="D16" s="853"/>
    </row>
    <row r="17" spans="1:4" ht="15">
      <c r="A17" s="555" t="s">
        <v>788</v>
      </c>
      <c r="B17" s="217">
        <v>354</v>
      </c>
      <c r="C17" s="212">
        <v>1.8800000000000001E-2</v>
      </c>
      <c r="D17" s="853"/>
    </row>
    <row r="18" spans="1:4" ht="15">
      <c r="A18" s="555" t="s">
        <v>789</v>
      </c>
      <c r="B18" s="217">
        <v>354</v>
      </c>
      <c r="C18" s="212">
        <v>1.8800000000000001E-2</v>
      </c>
      <c r="D18" s="853"/>
    </row>
    <row r="19" spans="1:4" ht="15">
      <c r="A19" s="555"/>
      <c r="B19" s="217"/>
      <c r="C19" s="212"/>
      <c r="D19" s="853"/>
    </row>
    <row r="20" spans="1:4" ht="15">
      <c r="A20" s="555" t="s">
        <v>790</v>
      </c>
      <c r="B20" s="217">
        <v>355</v>
      </c>
      <c r="C20" s="212">
        <v>3.5200000000000002E-2</v>
      </c>
      <c r="D20" s="853"/>
    </row>
    <row r="21" spans="1:4" ht="15">
      <c r="A21" s="555" t="s">
        <v>791</v>
      </c>
      <c r="B21" s="217">
        <v>355</v>
      </c>
      <c r="C21" s="212">
        <v>3.5200000000000002E-2</v>
      </c>
      <c r="D21" s="853"/>
    </row>
    <row r="22" spans="1:4" ht="15">
      <c r="A22" s="555"/>
      <c r="B22" s="217"/>
      <c r="C22" s="212"/>
      <c r="D22" s="853"/>
    </row>
    <row r="23" spans="1:4" ht="15">
      <c r="A23" s="555" t="s">
        <v>792</v>
      </c>
      <c r="B23" s="217">
        <v>356</v>
      </c>
      <c r="C23" s="212">
        <v>1.9099999999999999E-2</v>
      </c>
      <c r="D23" s="853"/>
    </row>
    <row r="24" spans="1:4" ht="15">
      <c r="A24" s="555" t="s">
        <v>793</v>
      </c>
      <c r="B24" s="217">
        <v>356</v>
      </c>
      <c r="C24" s="212">
        <v>1.9099999999999999E-2</v>
      </c>
      <c r="D24" s="853"/>
    </row>
    <row r="25" spans="1:4" ht="15">
      <c r="A25" s="555" t="s">
        <v>794</v>
      </c>
      <c r="B25" s="217">
        <v>356</v>
      </c>
      <c r="C25" s="212">
        <v>1.9099999999999999E-2</v>
      </c>
      <c r="D25" s="853"/>
    </row>
    <row r="26" spans="1:4" ht="15">
      <c r="A26" s="555" t="s">
        <v>795</v>
      </c>
      <c r="B26" s="217">
        <v>356</v>
      </c>
      <c r="C26" s="212">
        <v>1.9099999999999999E-2</v>
      </c>
      <c r="D26" s="853"/>
    </row>
    <row r="27" spans="1:4" ht="15">
      <c r="A27" s="555" t="s">
        <v>796</v>
      </c>
      <c r="B27" s="217">
        <v>356</v>
      </c>
      <c r="C27" s="212">
        <v>1.9099999999999999E-2</v>
      </c>
      <c r="D27" s="853"/>
    </row>
    <row r="28" spans="1:4" ht="15">
      <c r="A28" s="555"/>
      <c r="B28" s="217"/>
      <c r="C28" s="212"/>
      <c r="D28" s="853"/>
    </row>
    <row r="29" spans="1:4" ht="15">
      <c r="A29" s="555" t="s">
        <v>411</v>
      </c>
      <c r="B29" s="217">
        <v>357</v>
      </c>
      <c r="C29" s="212">
        <v>2.2599999999999999E-2</v>
      </c>
      <c r="D29" s="853"/>
    </row>
    <row r="30" spans="1:4" ht="15">
      <c r="A30" s="555" t="s">
        <v>412</v>
      </c>
      <c r="B30" s="217">
        <v>358</v>
      </c>
      <c r="C30" s="212">
        <v>3.27E-2</v>
      </c>
      <c r="D30" s="853"/>
    </row>
    <row r="31" spans="1:4" ht="15">
      <c r="A31" s="852"/>
      <c r="B31" s="843"/>
      <c r="C31" s="212"/>
      <c r="D31" s="555"/>
    </row>
    <row r="32" spans="1:4" ht="15.75" thickBot="1">
      <c r="A32" s="857"/>
      <c r="B32" s="858"/>
      <c r="C32" s="859"/>
      <c r="D32" s="555"/>
    </row>
    <row r="33" spans="1:4" ht="15">
      <c r="A33" s="845"/>
      <c r="B33" s="843"/>
      <c r="C33" s="212"/>
      <c r="D33" s="555"/>
    </row>
    <row r="34" spans="1:4" ht="15">
      <c r="A34" s="555"/>
      <c r="B34" s="843"/>
      <c r="C34" s="212"/>
      <c r="D34" s="555"/>
    </row>
    <row r="35" spans="1:4" ht="15.75">
      <c r="A35" s="555" t="s">
        <v>779</v>
      </c>
      <c r="B35" s="847"/>
      <c r="C35" s="220"/>
      <c r="D35" s="555"/>
    </row>
    <row r="36" spans="1:4" ht="15">
      <c r="A36" s="555"/>
      <c r="B36" s="555"/>
      <c r="C36" s="555"/>
      <c r="D36" s="555"/>
    </row>
    <row r="37" spans="1:4" ht="15" customHeight="1">
      <c r="A37" s="1326" t="s">
        <v>1189</v>
      </c>
      <c r="B37" s="1326"/>
      <c r="C37" s="1326"/>
      <c r="D37" s="1326"/>
    </row>
    <row r="38" spans="1:4" ht="15">
      <c r="A38" s="555" t="s">
        <v>1190</v>
      </c>
      <c r="B38" s="555"/>
      <c r="C38" s="555"/>
      <c r="D38" s="555"/>
    </row>
    <row r="39" spans="1:4" ht="15">
      <c r="A39" s="555"/>
      <c r="B39" s="555"/>
      <c r="C39" s="555"/>
      <c r="D39" s="555"/>
    </row>
    <row r="40" spans="1:4" ht="15">
      <c r="A40" s="555"/>
      <c r="B40" s="555"/>
      <c r="C40" s="555"/>
      <c r="D40" s="555"/>
    </row>
    <row r="41" spans="1:4" ht="15.75">
      <c r="A41" s="848" t="s">
        <v>797</v>
      </c>
      <c r="B41" s="843"/>
      <c r="C41" s="212"/>
      <c r="D41" s="555"/>
    </row>
    <row r="42" spans="1:4">
      <c r="A42" s="1327" t="s">
        <v>816</v>
      </c>
      <c r="B42" s="1327"/>
      <c r="C42" s="1327"/>
      <c r="D42" s="850"/>
    </row>
    <row r="43" spans="1:4">
      <c r="A43" s="1327"/>
      <c r="B43" s="1327"/>
      <c r="C43" s="1327"/>
      <c r="D43" s="850"/>
    </row>
    <row r="44" spans="1:4">
      <c r="A44" s="1327"/>
      <c r="B44" s="1327"/>
      <c r="C44" s="1327"/>
      <c r="D44" s="850"/>
    </row>
    <row r="45" spans="1:4">
      <c r="A45" s="1327"/>
      <c r="B45" s="1327"/>
      <c r="C45" s="1327"/>
      <c r="D45" s="850"/>
    </row>
    <row r="46" spans="1:4">
      <c r="A46" s="1327"/>
      <c r="B46" s="1327"/>
      <c r="C46" s="1327"/>
      <c r="D46" s="850"/>
    </row>
    <row r="47" spans="1:4" ht="15">
      <c r="A47" s="555"/>
      <c r="B47" s="555"/>
      <c r="C47" s="555"/>
      <c r="D47" s="555"/>
    </row>
  </sheetData>
  <mergeCells count="8">
    <mergeCell ref="A37:D37"/>
    <mergeCell ref="A42:C46"/>
    <mergeCell ref="A3:D3"/>
    <mergeCell ref="A4:D4"/>
    <mergeCell ref="A5:D5"/>
    <mergeCell ref="A6:D6"/>
    <mergeCell ref="A7:D7"/>
    <mergeCell ref="A8:D8"/>
  </mergeCells>
  <pageMargins left="0.7" right="0.7" top="0.75" bottom="0.75" header="0.3" footer="0.3"/>
  <pageSetup scale="9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ransitionEvaluation="1" codeName="Sheet27">
    <pageSetUpPr fitToPage="1"/>
  </sheetPr>
  <dimension ref="A1:H45"/>
  <sheetViews>
    <sheetView tabSelected="1" defaultGridColor="0" view="pageBreakPreview" topLeftCell="A4" colorId="22" zoomScale="60" zoomScaleNormal="75" workbookViewId="0">
      <selection activeCell="D11" sqref="D11"/>
    </sheetView>
  </sheetViews>
  <sheetFormatPr defaultColWidth="14.5703125" defaultRowHeight="15"/>
  <cols>
    <col min="1" max="1" width="41.5703125" style="555" customWidth="1"/>
    <col min="2" max="2" width="33.140625" style="555" customWidth="1"/>
    <col min="3" max="4" width="31.85546875" style="555" customWidth="1"/>
    <col min="5" max="5" width="16.5703125" style="555" customWidth="1"/>
    <col min="6" max="6" width="14.5703125" style="555" customWidth="1"/>
    <col min="7" max="7" width="4.85546875" style="555" customWidth="1"/>
    <col min="8" max="8" width="14.5703125" style="218" customWidth="1"/>
    <col min="9" max="9" width="18.42578125" style="555" customWidth="1"/>
    <col min="10" max="10" width="15.5703125" style="555" customWidth="1"/>
    <col min="11" max="11" width="6.140625" style="555" customWidth="1"/>
    <col min="12" max="12" width="14.5703125" style="555" customWidth="1"/>
    <col min="13" max="13" width="16.140625" style="555" customWidth="1"/>
    <col min="14" max="14" width="14.5703125" style="555" customWidth="1"/>
    <col min="15" max="15" width="4.85546875" style="555" customWidth="1"/>
    <col min="16" max="16" width="18.5703125" style="555" customWidth="1"/>
    <col min="17" max="16384" width="14.5703125" style="555"/>
  </cols>
  <sheetData>
    <row r="1" spans="1:7" s="555" customFormat="1" ht="15.75">
      <c r="A1" s="657" t="s">
        <v>114</v>
      </c>
      <c r="G1" s="218"/>
    </row>
    <row r="2" spans="1:7" s="555" customFormat="1" ht="15.75">
      <c r="A2" s="657" t="s">
        <v>114</v>
      </c>
      <c r="G2" s="218"/>
    </row>
    <row r="3" spans="1:7" ht="19.5">
      <c r="B3" s="1328" t="s">
        <v>391</v>
      </c>
      <c r="C3" s="1328"/>
      <c r="D3" s="1328"/>
      <c r="E3" s="1328"/>
    </row>
    <row r="4" spans="1:7" ht="19.5">
      <c r="B4" s="1328" t="s">
        <v>773</v>
      </c>
      <c r="C4" s="1328"/>
      <c r="D4" s="1328"/>
      <c r="E4" s="1328"/>
    </row>
    <row r="5" spans="1:7" ht="19.5">
      <c r="B5" s="1328" t="s">
        <v>774</v>
      </c>
      <c r="C5" s="1328"/>
      <c r="D5" s="1328"/>
      <c r="E5" s="1328"/>
    </row>
    <row r="6" spans="1:7" ht="19.5">
      <c r="B6" s="1328" t="s">
        <v>1187</v>
      </c>
      <c r="C6" s="1328"/>
      <c r="D6" s="1328"/>
      <c r="E6" s="1328"/>
    </row>
    <row r="7" spans="1:7" ht="19.5">
      <c r="B7" s="1328" t="s">
        <v>776</v>
      </c>
      <c r="C7" s="1328"/>
      <c r="D7" s="1328"/>
      <c r="E7" s="1328"/>
    </row>
    <row r="8" spans="1:7" ht="19.5">
      <c r="B8" s="1328" t="s">
        <v>798</v>
      </c>
      <c r="C8" s="1328"/>
      <c r="D8" s="1328"/>
      <c r="E8" s="1328"/>
    </row>
    <row r="9" spans="1:7">
      <c r="B9" s="843"/>
      <c r="C9" s="843"/>
      <c r="D9" s="558" t="s">
        <v>114</v>
      </c>
    </row>
    <row r="10" spans="1:7">
      <c r="A10" s="1327"/>
      <c r="B10" s="1327"/>
      <c r="C10" s="1327"/>
      <c r="D10" s="850"/>
    </row>
    <row r="11" spans="1:7" ht="15.75">
      <c r="A11" s="843"/>
      <c r="B11" s="849" t="s">
        <v>399</v>
      </c>
    </row>
    <row r="12" spans="1:7" ht="15.75">
      <c r="A12" s="558"/>
      <c r="B12" s="849" t="s">
        <v>403</v>
      </c>
      <c r="C12" s="849" t="s">
        <v>404</v>
      </c>
      <c r="D12" s="849"/>
    </row>
    <row r="13" spans="1:7" ht="15.75" thickBot="1">
      <c r="C13" s="853" t="s">
        <v>499</v>
      </c>
    </row>
    <row r="14" spans="1:7">
      <c r="A14" s="565" t="s">
        <v>406</v>
      </c>
      <c r="B14" s="846"/>
      <c r="C14" s="213"/>
    </row>
    <row r="15" spans="1:7">
      <c r="A15" s="852"/>
      <c r="D15" s="853"/>
    </row>
    <row r="16" spans="1:7">
      <c r="A16" s="555" t="s">
        <v>407</v>
      </c>
      <c r="B16" s="217">
        <v>352</v>
      </c>
      <c r="C16" s="212">
        <v>1.15E-2</v>
      </c>
      <c r="D16" s="853"/>
    </row>
    <row r="17" spans="1:4">
      <c r="A17" s="555" t="s">
        <v>408</v>
      </c>
      <c r="B17" s="217">
        <v>353</v>
      </c>
      <c r="C17" s="212">
        <v>2.2200000000000001E-2</v>
      </c>
      <c r="D17" s="853"/>
    </row>
    <row r="18" spans="1:4">
      <c r="A18" s="555" t="s">
        <v>409</v>
      </c>
      <c r="B18" s="217">
        <v>354</v>
      </c>
      <c r="C18" s="212">
        <v>2.6499999999999999E-2</v>
      </c>
      <c r="D18" s="853"/>
    </row>
    <row r="19" spans="1:4">
      <c r="A19" s="555" t="s">
        <v>410</v>
      </c>
      <c r="B19" s="217">
        <v>355</v>
      </c>
      <c r="C19" s="212">
        <v>2.41E-2</v>
      </c>
      <c r="D19" s="853"/>
    </row>
    <row r="20" spans="1:4">
      <c r="A20" s="555" t="s">
        <v>769</v>
      </c>
      <c r="B20" s="217">
        <v>356</v>
      </c>
      <c r="C20" s="212">
        <v>1.32E-2</v>
      </c>
      <c r="D20" s="853"/>
    </row>
    <row r="21" spans="1:4">
      <c r="A21" s="555" t="s">
        <v>411</v>
      </c>
      <c r="B21" s="217">
        <v>351</v>
      </c>
      <c r="C21" s="212">
        <v>9.9400000000000002E-2</v>
      </c>
      <c r="D21" s="853"/>
    </row>
    <row r="22" spans="1:4">
      <c r="A22" s="555" t="s">
        <v>412</v>
      </c>
      <c r="B22" s="217">
        <v>351</v>
      </c>
      <c r="C22" s="212">
        <v>0.13980000000000001</v>
      </c>
      <c r="D22" s="853"/>
    </row>
    <row r="23" spans="1:4">
      <c r="A23" s="555" t="s">
        <v>770</v>
      </c>
      <c r="B23" s="217">
        <v>359</v>
      </c>
      <c r="C23" s="851" t="s">
        <v>799</v>
      </c>
      <c r="D23" s="853"/>
    </row>
    <row r="24" spans="1:4" ht="15.75" thickBot="1">
      <c r="B24" s="217"/>
      <c r="C24" s="212"/>
      <c r="D24" s="853"/>
    </row>
    <row r="25" spans="1:4">
      <c r="A25" s="565" t="s">
        <v>800</v>
      </c>
      <c r="B25" s="846"/>
      <c r="C25" s="213"/>
      <c r="D25" s="853"/>
    </row>
    <row r="26" spans="1:4" ht="15" customHeight="1">
      <c r="B26" s="217"/>
      <c r="C26" s="212"/>
      <c r="D26" s="853"/>
    </row>
    <row r="27" spans="1:4">
      <c r="A27" s="555" t="s">
        <v>801</v>
      </c>
      <c r="B27" s="217">
        <v>390</v>
      </c>
      <c r="C27" s="212">
        <v>1.0800000000000001E-2</v>
      </c>
      <c r="D27" s="853"/>
    </row>
    <row r="28" spans="1:4">
      <c r="A28" s="555" t="s">
        <v>802</v>
      </c>
      <c r="B28" s="217">
        <v>391</v>
      </c>
      <c r="C28" s="212">
        <v>2.1299999999999999E-2</v>
      </c>
      <c r="D28" s="853"/>
    </row>
    <row r="29" spans="1:4">
      <c r="A29" s="555" t="s">
        <v>803</v>
      </c>
      <c r="B29" s="217">
        <v>393</v>
      </c>
      <c r="C29" s="212">
        <v>1.78E-2</v>
      </c>
      <c r="D29" s="853"/>
    </row>
    <row r="30" spans="1:4" ht="15" customHeight="1">
      <c r="A30" s="555" t="s">
        <v>804</v>
      </c>
      <c r="B30" s="217">
        <v>394</v>
      </c>
      <c r="C30" s="212">
        <v>1.6500000000000001E-2</v>
      </c>
      <c r="D30" s="853"/>
    </row>
    <row r="31" spans="1:4">
      <c r="A31" s="555" t="s">
        <v>806</v>
      </c>
      <c r="B31" s="217">
        <v>397</v>
      </c>
      <c r="C31" s="212">
        <v>5.0900000000000001E-2</v>
      </c>
      <c r="D31" s="853"/>
    </row>
    <row r="32" spans="1:4">
      <c r="A32" s="555" t="s">
        <v>807</v>
      </c>
      <c r="B32" s="217">
        <v>398</v>
      </c>
      <c r="C32" s="212">
        <v>2.76E-2</v>
      </c>
      <c r="D32" s="853"/>
    </row>
    <row r="33" spans="1:4">
      <c r="B33" s="217"/>
      <c r="C33" s="212"/>
      <c r="D33" s="853"/>
    </row>
    <row r="34" spans="1:4">
      <c r="B34" s="217"/>
      <c r="C34" s="212"/>
      <c r="D34" s="853"/>
    </row>
    <row r="35" spans="1:4">
      <c r="B35" s="217"/>
      <c r="C35" s="212"/>
      <c r="D35" s="853"/>
    </row>
    <row r="36" spans="1:4">
      <c r="A36" s="852"/>
      <c r="B36" s="843"/>
      <c r="C36" s="212"/>
    </row>
    <row r="37" spans="1:4" ht="15" customHeight="1">
      <c r="A37" s="1326" t="s">
        <v>1186</v>
      </c>
      <c r="B37" s="1326"/>
      <c r="C37" s="1326"/>
      <c r="D37" s="1326"/>
    </row>
    <row r="38" spans="1:4" ht="15.75">
      <c r="B38" s="847"/>
      <c r="C38" s="220"/>
    </row>
    <row r="39" spans="1:4">
      <c r="A39" s="1326"/>
      <c r="B39" s="1326"/>
      <c r="C39" s="1326"/>
      <c r="D39" s="1326"/>
    </row>
    <row r="40" spans="1:4" ht="15.75">
      <c r="A40" s="848" t="s">
        <v>797</v>
      </c>
      <c r="B40" s="843"/>
      <c r="C40" s="212"/>
    </row>
    <row r="41" spans="1:4">
      <c r="A41" s="1327" t="s">
        <v>816</v>
      </c>
      <c r="B41" s="1327"/>
      <c r="C41" s="1327"/>
      <c r="D41" s="850"/>
    </row>
    <row r="42" spans="1:4">
      <c r="A42" s="1327"/>
      <c r="B42" s="1327"/>
      <c r="C42" s="1327"/>
      <c r="D42" s="850"/>
    </row>
    <row r="43" spans="1:4">
      <c r="A43" s="1327"/>
      <c r="B43" s="1327"/>
      <c r="C43" s="1327"/>
      <c r="D43" s="850"/>
    </row>
    <row r="44" spans="1:4">
      <c r="A44" s="1327"/>
      <c r="B44" s="1327"/>
      <c r="C44" s="1327"/>
      <c r="D44" s="850"/>
    </row>
    <row r="45" spans="1:4">
      <c r="A45" s="1327"/>
      <c r="B45" s="1327"/>
      <c r="C45" s="1327"/>
      <c r="D45" s="850"/>
    </row>
  </sheetData>
  <mergeCells count="10">
    <mergeCell ref="A37:D37"/>
    <mergeCell ref="A39:D39"/>
    <mergeCell ref="A41:C45"/>
    <mergeCell ref="A10:C10"/>
    <mergeCell ref="B3:E3"/>
    <mergeCell ref="B4:E4"/>
    <mergeCell ref="B5:E5"/>
    <mergeCell ref="B6:E6"/>
    <mergeCell ref="B7:E7"/>
    <mergeCell ref="B8:E8"/>
  </mergeCells>
  <conditionalFormatting sqref="B3:T4">
    <cfRule type="cellIs" dxfId="1" priority="2" stopIfTrue="1" operator="lessThan">
      <formula>0</formula>
    </cfRule>
  </conditionalFormatting>
  <conditionalFormatting sqref="C23">
    <cfRule type="cellIs" dxfId="0" priority="1" stopIfTrue="1" operator="lessThan">
      <formula>0</formula>
    </cfRule>
  </conditionalFormatting>
  <printOptions horizontalCentered="1"/>
  <pageMargins left="0.55000000000000004" right="0.55000000000000004" top="1.25" bottom="0.75" header="0.75" footer="0.27"/>
  <pageSetup scale="68" orientation="landscape" r:id="rId1"/>
  <headerFooter alignWithMargins="0">
    <oddHeader>&amp;RFormula Rate 
&amp;A
Page &amp;P of &amp;N</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K57"/>
  <sheetViews>
    <sheetView tabSelected="1" view="pageBreakPreview" zoomScale="60" zoomScaleNormal="100" workbookViewId="0">
      <selection activeCell="D11" sqref="D11"/>
    </sheetView>
  </sheetViews>
  <sheetFormatPr defaultRowHeight="12.75"/>
  <cols>
    <col min="1" max="1" width="28.42578125" customWidth="1"/>
    <col min="4" max="4" width="28.85546875" customWidth="1"/>
    <col min="6" max="6" width="20.5703125" customWidth="1"/>
    <col min="8" max="8" width="21.42578125" customWidth="1"/>
    <col min="9" max="9" width="14.85546875" customWidth="1"/>
    <col min="11" max="11" width="18.85546875" customWidth="1"/>
  </cols>
  <sheetData>
    <row r="1" spans="1:11" ht="15.75">
      <c r="A1" s="1329" t="s">
        <v>387</v>
      </c>
      <c r="B1" s="1329"/>
      <c r="C1" s="1329"/>
      <c r="D1" s="1329"/>
      <c r="E1" s="1329"/>
      <c r="F1" s="1329"/>
      <c r="G1" s="1329"/>
      <c r="H1" s="1329"/>
      <c r="I1" s="1329"/>
      <c r="J1" s="1329"/>
      <c r="K1" s="1329"/>
    </row>
    <row r="2" spans="1:11" ht="15.75">
      <c r="A2" s="1330" t="s">
        <v>567</v>
      </c>
      <c r="B2" s="1330"/>
      <c r="C2" s="1330"/>
      <c r="D2" s="1330"/>
      <c r="E2" s="1330"/>
      <c r="F2" s="1330"/>
      <c r="G2" s="1330"/>
      <c r="H2" s="1330"/>
      <c r="I2" s="1330"/>
      <c r="J2" s="1330"/>
      <c r="K2" s="1330"/>
    </row>
    <row r="3" spans="1:11" ht="15.75">
      <c r="A3" s="1330" t="s">
        <v>568</v>
      </c>
      <c r="B3" s="1330"/>
      <c r="C3" s="1330"/>
      <c r="D3" s="1330"/>
      <c r="E3" s="1330"/>
      <c r="F3" s="1330"/>
      <c r="G3" s="1330"/>
      <c r="H3" s="1330"/>
      <c r="I3" s="1330"/>
      <c r="J3" s="1330"/>
      <c r="K3" s="1330"/>
    </row>
    <row r="4" spans="1:11" ht="15.75">
      <c r="A4" s="2"/>
      <c r="B4" s="2"/>
      <c r="C4" s="2"/>
      <c r="D4" s="1330"/>
      <c r="E4" s="1330"/>
      <c r="F4" s="1330"/>
      <c r="G4" s="1330"/>
      <c r="H4" s="2"/>
      <c r="I4" s="2"/>
      <c r="J4" s="2"/>
      <c r="K4" s="2"/>
    </row>
    <row r="7" spans="1:11" ht="16.5" thickBot="1">
      <c r="A7" s="571"/>
      <c r="B7" s="572"/>
      <c r="C7" s="572"/>
      <c r="D7" s="572"/>
      <c r="E7" s="572"/>
      <c r="F7" s="572"/>
      <c r="G7" s="572"/>
      <c r="H7" s="572"/>
      <c r="I7" s="572"/>
      <c r="J7" s="572"/>
      <c r="K7" s="572"/>
    </row>
    <row r="8" spans="1:11" ht="47.25">
      <c r="A8" s="573" t="str">
        <f>"Reconciliation Revenue Requirement For Year 2018 Available May 25, 2019"</f>
        <v>Reconciliation Revenue Requirement For Year 2018 Available May 25, 2019</v>
      </c>
      <c r="B8" s="572"/>
      <c r="C8" s="572"/>
      <c r="D8" s="573" t="s">
        <v>1077</v>
      </c>
      <c r="E8" s="572"/>
      <c r="F8" s="572"/>
      <c r="G8" s="2"/>
      <c r="H8" s="573" t="s">
        <v>548</v>
      </c>
      <c r="I8" s="2"/>
      <c r="J8" s="2"/>
      <c r="K8" s="2"/>
    </row>
    <row r="9" spans="1:11" ht="15.75">
      <c r="A9" s="574" t="s">
        <v>114</v>
      </c>
      <c r="B9" s="572"/>
      <c r="C9" s="572"/>
      <c r="D9" s="574"/>
      <c r="E9" s="572"/>
      <c r="F9" s="572"/>
      <c r="G9" s="2"/>
      <c r="H9" s="575"/>
      <c r="I9" s="2"/>
      <c r="J9" s="2"/>
      <c r="K9" s="2"/>
    </row>
    <row r="10" spans="1:11" ht="16.5" thickBot="1">
      <c r="A10" s="651">
        <v>0</v>
      </c>
      <c r="B10" s="576" t="str">
        <f>"-"</f>
        <v>-</v>
      </c>
      <c r="C10" s="577"/>
      <c r="D10" s="651">
        <v>0</v>
      </c>
      <c r="E10" s="578"/>
      <c r="F10" s="579" t="str">
        <f>"="</f>
        <v>=</v>
      </c>
      <c r="G10" s="580"/>
      <c r="H10" s="581">
        <f>IF(A10=0,0,D10-A10)</f>
        <v>0</v>
      </c>
      <c r="I10" s="2"/>
      <c r="J10" s="2"/>
      <c r="K10" s="2"/>
    </row>
    <row r="11" spans="1:11" ht="15.75">
      <c r="A11" s="582"/>
      <c r="B11" s="583"/>
      <c r="C11" s="583"/>
      <c r="D11" s="582"/>
      <c r="E11" s="582"/>
      <c r="F11" s="583"/>
      <c r="G11" s="582"/>
      <c r="H11" s="2"/>
      <c r="I11" s="2"/>
      <c r="J11" s="2"/>
      <c r="K11" s="2"/>
    </row>
    <row r="12" spans="1:11" ht="16.5" thickBot="1">
      <c r="A12" s="584"/>
      <c r="B12" s="585"/>
      <c r="C12" s="585"/>
      <c r="D12" s="584"/>
      <c r="E12" s="584"/>
      <c r="F12" s="585"/>
      <c r="G12" s="584"/>
      <c r="H12" s="586"/>
      <c r="I12" s="586"/>
      <c r="J12" s="586"/>
      <c r="K12" s="586"/>
    </row>
    <row r="13" spans="1:11" ht="15.75">
      <c r="A13" s="587"/>
      <c r="B13" s="583"/>
      <c r="C13" s="583"/>
      <c r="D13" s="582"/>
      <c r="E13" s="582"/>
      <c r="F13" s="583"/>
      <c r="G13" s="582"/>
      <c r="H13" s="2"/>
      <c r="I13" s="2"/>
      <c r="J13" s="2"/>
      <c r="K13" s="2"/>
    </row>
    <row r="14" spans="1:11" ht="31.5">
      <c r="A14" s="588" t="s">
        <v>549</v>
      </c>
      <c r="B14" s="583"/>
      <c r="C14" s="583"/>
      <c r="D14" s="589" t="s">
        <v>550</v>
      </c>
      <c r="E14" s="582"/>
      <c r="F14" s="589" t="s">
        <v>551</v>
      </c>
      <c r="G14" s="590" t="s">
        <v>552</v>
      </c>
      <c r="H14" s="591" t="s">
        <v>553</v>
      </c>
      <c r="I14" s="589" t="s">
        <v>554</v>
      </c>
      <c r="J14" s="592"/>
      <c r="K14" s="589" t="s">
        <v>555</v>
      </c>
    </row>
    <row r="15" spans="1:11" ht="15.75">
      <c r="A15" s="588" t="s">
        <v>556</v>
      </c>
      <c r="B15" s="583"/>
      <c r="C15" s="583"/>
      <c r="D15" s="2"/>
      <c r="E15" s="593"/>
      <c r="F15" s="1090">
        <v>4.0949999999999997E-3</v>
      </c>
      <c r="H15" s="2"/>
      <c r="I15" s="2"/>
      <c r="J15" s="2"/>
      <c r="K15" s="2"/>
    </row>
    <row r="16" spans="1:11" ht="15.75">
      <c r="A16" s="588"/>
      <c r="B16" s="583"/>
      <c r="C16" s="583"/>
      <c r="D16" s="2"/>
      <c r="E16" s="593"/>
      <c r="F16" s="593"/>
      <c r="G16" s="582"/>
      <c r="H16" s="2"/>
      <c r="I16" s="2"/>
      <c r="J16" s="2"/>
      <c r="K16" s="2"/>
    </row>
    <row r="17" spans="1:11" ht="15.75">
      <c r="A17" s="588" t="s">
        <v>1078</v>
      </c>
      <c r="B17" s="583"/>
      <c r="C17" s="583"/>
      <c r="D17" s="2"/>
      <c r="E17" s="593"/>
      <c r="F17" s="593"/>
      <c r="G17" s="582"/>
      <c r="H17" s="2"/>
      <c r="I17" s="2"/>
      <c r="J17" s="2"/>
      <c r="K17" s="2"/>
    </row>
    <row r="18" spans="1:11" ht="15.75">
      <c r="A18" s="594" t="s">
        <v>114</v>
      </c>
      <c r="B18" s="583"/>
      <c r="C18" s="583"/>
      <c r="D18" s="583"/>
      <c r="E18" s="583"/>
      <c r="F18" s="583" t="s">
        <v>114</v>
      </c>
      <c r="G18" s="2"/>
      <c r="H18" s="2"/>
      <c r="I18" s="2"/>
      <c r="J18" s="2"/>
      <c r="K18" s="2"/>
    </row>
    <row r="19" spans="1:11" ht="15.75">
      <c r="A19" s="595"/>
      <c r="B19" s="583"/>
      <c r="C19" s="583"/>
      <c r="D19" s="583"/>
      <c r="E19" s="583"/>
      <c r="F19" s="2"/>
      <c r="G19" s="2"/>
      <c r="H19" s="590"/>
      <c r="I19" s="583"/>
      <c r="J19" s="583"/>
      <c r="K19" s="583"/>
    </row>
    <row r="20" spans="1:11" ht="15.75">
      <c r="A20" s="595" t="s">
        <v>557</v>
      </c>
      <c r="B20" s="583"/>
      <c r="C20" s="583"/>
      <c r="D20" s="583"/>
      <c r="E20" s="583"/>
      <c r="F20" s="2"/>
      <c r="G20" s="2"/>
      <c r="H20" s="590" t="s">
        <v>558</v>
      </c>
      <c r="I20" s="583"/>
      <c r="J20" s="583"/>
      <c r="K20" s="583"/>
    </row>
    <row r="21" spans="1:11" ht="15.75">
      <c r="A21" s="572" t="s">
        <v>185</v>
      </c>
      <c r="B21" s="572" t="str">
        <f>"Year 2018"</f>
        <v>Year 2018</v>
      </c>
      <c r="C21" s="572"/>
      <c r="D21" s="596">
        <f>H10/12</f>
        <v>0</v>
      </c>
      <c r="E21" s="596"/>
      <c r="F21" s="597">
        <f>+F15</f>
        <v>4.0949999999999997E-3</v>
      </c>
      <c r="G21" s="572">
        <v>12</v>
      </c>
      <c r="H21" s="596">
        <f>F21*D21*G21*-1</f>
        <v>0</v>
      </c>
      <c r="I21" s="596"/>
      <c r="J21" s="596"/>
      <c r="K21" s="596">
        <f>(-H21+D21)*-1</f>
        <v>0</v>
      </c>
    </row>
    <row r="22" spans="1:11" ht="15.75">
      <c r="A22" s="572" t="s">
        <v>559</v>
      </c>
      <c r="B22" s="572" t="str">
        <f>B21</f>
        <v>Year 2018</v>
      </c>
      <c r="C22" s="572"/>
      <c r="D22" s="596">
        <f>+D21</f>
        <v>0</v>
      </c>
      <c r="E22" s="596"/>
      <c r="F22" s="597">
        <f>+F21</f>
        <v>4.0949999999999997E-3</v>
      </c>
      <c r="G22" s="572">
        <f t="shared" ref="G22:G32" si="0">+G21-1</f>
        <v>11</v>
      </c>
      <c r="H22" s="596">
        <f t="shared" ref="H22:H32" si="1">F22*D22*G22*-1</f>
        <v>0</v>
      </c>
      <c r="I22" s="596"/>
      <c r="J22" s="596"/>
      <c r="K22" s="596">
        <f t="shared" ref="K22:K32" si="2">(-H22+D22)*-1</f>
        <v>0</v>
      </c>
    </row>
    <row r="23" spans="1:11" ht="15.75">
      <c r="A23" s="572" t="s">
        <v>186</v>
      </c>
      <c r="B23" s="572" t="str">
        <f t="shared" ref="B23:B32" si="3">B22</f>
        <v>Year 2018</v>
      </c>
      <c r="C23" s="572"/>
      <c r="D23" s="596">
        <f t="shared" ref="D23:D32" si="4">+D22</f>
        <v>0</v>
      </c>
      <c r="E23" s="596"/>
      <c r="F23" s="597">
        <f t="shared" ref="F23:F32" si="5">+F22</f>
        <v>4.0949999999999997E-3</v>
      </c>
      <c r="G23" s="572">
        <f t="shared" si="0"/>
        <v>10</v>
      </c>
      <c r="H23" s="596">
        <f t="shared" si="1"/>
        <v>0</v>
      </c>
      <c r="I23" s="596"/>
      <c r="J23" s="596"/>
      <c r="K23" s="596">
        <f t="shared" si="2"/>
        <v>0</v>
      </c>
    </row>
    <row r="24" spans="1:11" ht="15.75">
      <c r="A24" s="572" t="s">
        <v>187</v>
      </c>
      <c r="B24" s="572" t="str">
        <f t="shared" si="3"/>
        <v>Year 2018</v>
      </c>
      <c r="C24" s="572"/>
      <c r="D24" s="596">
        <f t="shared" si="4"/>
        <v>0</v>
      </c>
      <c r="E24" s="596"/>
      <c r="F24" s="597">
        <f t="shared" si="5"/>
        <v>4.0949999999999997E-3</v>
      </c>
      <c r="G24" s="572">
        <f t="shared" si="0"/>
        <v>9</v>
      </c>
      <c r="H24" s="596">
        <f t="shared" si="1"/>
        <v>0</v>
      </c>
      <c r="I24" s="596"/>
      <c r="J24" s="596"/>
      <c r="K24" s="596">
        <f t="shared" si="2"/>
        <v>0</v>
      </c>
    </row>
    <row r="25" spans="1:11" ht="15.75">
      <c r="A25" s="572" t="s">
        <v>188</v>
      </c>
      <c r="B25" s="572" t="str">
        <f t="shared" si="3"/>
        <v>Year 2018</v>
      </c>
      <c r="C25" s="572"/>
      <c r="D25" s="596">
        <f t="shared" si="4"/>
        <v>0</v>
      </c>
      <c r="E25" s="596"/>
      <c r="F25" s="597">
        <f t="shared" si="5"/>
        <v>4.0949999999999997E-3</v>
      </c>
      <c r="G25" s="572">
        <f t="shared" si="0"/>
        <v>8</v>
      </c>
      <c r="H25" s="596">
        <f t="shared" si="1"/>
        <v>0</v>
      </c>
      <c r="I25" s="596"/>
      <c r="J25" s="596"/>
      <c r="K25" s="596">
        <f t="shared" si="2"/>
        <v>0</v>
      </c>
    </row>
    <row r="26" spans="1:11" ht="15.75">
      <c r="A26" s="572" t="s">
        <v>382</v>
      </c>
      <c r="B26" s="572" t="str">
        <f t="shared" si="3"/>
        <v>Year 2018</v>
      </c>
      <c r="C26" s="572"/>
      <c r="D26" s="596">
        <f t="shared" si="4"/>
        <v>0</v>
      </c>
      <c r="E26" s="596"/>
      <c r="F26" s="597">
        <f t="shared" si="5"/>
        <v>4.0949999999999997E-3</v>
      </c>
      <c r="G26" s="572">
        <f t="shared" si="0"/>
        <v>7</v>
      </c>
      <c r="H26" s="596">
        <f t="shared" si="1"/>
        <v>0</v>
      </c>
      <c r="I26" s="596"/>
      <c r="J26" s="596"/>
      <c r="K26" s="596">
        <f t="shared" si="2"/>
        <v>0</v>
      </c>
    </row>
    <row r="27" spans="1:11" ht="15.75">
      <c r="A27" s="572" t="s">
        <v>189</v>
      </c>
      <c r="B27" s="572" t="str">
        <f t="shared" si="3"/>
        <v>Year 2018</v>
      </c>
      <c r="C27" s="572"/>
      <c r="D27" s="596">
        <f t="shared" si="4"/>
        <v>0</v>
      </c>
      <c r="E27" s="596"/>
      <c r="F27" s="597">
        <f t="shared" si="5"/>
        <v>4.0949999999999997E-3</v>
      </c>
      <c r="G27" s="572">
        <f t="shared" si="0"/>
        <v>6</v>
      </c>
      <c r="H27" s="596">
        <f t="shared" si="1"/>
        <v>0</v>
      </c>
      <c r="I27" s="596"/>
      <c r="J27" s="596"/>
      <c r="K27" s="596">
        <f t="shared" si="2"/>
        <v>0</v>
      </c>
    </row>
    <row r="28" spans="1:11" ht="15.75">
      <c r="A28" s="572" t="s">
        <v>190</v>
      </c>
      <c r="B28" s="572" t="str">
        <f t="shared" si="3"/>
        <v>Year 2018</v>
      </c>
      <c r="C28" s="572"/>
      <c r="D28" s="596">
        <f t="shared" si="4"/>
        <v>0</v>
      </c>
      <c r="E28" s="596"/>
      <c r="F28" s="597">
        <f t="shared" si="5"/>
        <v>4.0949999999999997E-3</v>
      </c>
      <c r="G28" s="572">
        <f t="shared" si="0"/>
        <v>5</v>
      </c>
      <c r="H28" s="596">
        <f t="shared" si="1"/>
        <v>0</v>
      </c>
      <c r="I28" s="596"/>
      <c r="J28" s="596"/>
      <c r="K28" s="596">
        <f t="shared" si="2"/>
        <v>0</v>
      </c>
    </row>
    <row r="29" spans="1:11" ht="15.75">
      <c r="A29" s="572" t="s">
        <v>192</v>
      </c>
      <c r="B29" s="572" t="str">
        <f t="shared" si="3"/>
        <v>Year 2018</v>
      </c>
      <c r="C29" s="572"/>
      <c r="D29" s="596">
        <f t="shared" si="4"/>
        <v>0</v>
      </c>
      <c r="E29" s="596"/>
      <c r="F29" s="597">
        <f t="shared" si="5"/>
        <v>4.0949999999999997E-3</v>
      </c>
      <c r="G29" s="572">
        <f t="shared" si="0"/>
        <v>4</v>
      </c>
      <c r="H29" s="596">
        <f t="shared" si="1"/>
        <v>0</v>
      </c>
      <c r="I29" s="596"/>
      <c r="J29" s="596"/>
      <c r="K29" s="596">
        <f t="shared" si="2"/>
        <v>0</v>
      </c>
    </row>
    <row r="30" spans="1:11" ht="15.75">
      <c r="A30" s="572" t="s">
        <v>560</v>
      </c>
      <c r="B30" s="572" t="str">
        <f t="shared" si="3"/>
        <v>Year 2018</v>
      </c>
      <c r="C30" s="572"/>
      <c r="D30" s="596">
        <f t="shared" si="4"/>
        <v>0</v>
      </c>
      <c r="E30" s="596"/>
      <c r="F30" s="597">
        <f t="shared" si="5"/>
        <v>4.0949999999999997E-3</v>
      </c>
      <c r="G30" s="572">
        <f t="shared" si="0"/>
        <v>3</v>
      </c>
      <c r="H30" s="596">
        <f t="shared" si="1"/>
        <v>0</v>
      </c>
      <c r="I30" s="596"/>
      <c r="J30" s="596"/>
      <c r="K30" s="596">
        <f t="shared" si="2"/>
        <v>0</v>
      </c>
    </row>
    <row r="31" spans="1:11" ht="15.75">
      <c r="A31" s="572" t="s">
        <v>561</v>
      </c>
      <c r="B31" s="572" t="str">
        <f t="shared" si="3"/>
        <v>Year 2018</v>
      </c>
      <c r="C31" s="572"/>
      <c r="D31" s="596">
        <f t="shared" si="4"/>
        <v>0</v>
      </c>
      <c r="E31" s="596"/>
      <c r="F31" s="597">
        <f t="shared" si="5"/>
        <v>4.0949999999999997E-3</v>
      </c>
      <c r="G31" s="572">
        <f t="shared" si="0"/>
        <v>2</v>
      </c>
      <c r="H31" s="596">
        <f t="shared" si="1"/>
        <v>0</v>
      </c>
      <c r="I31" s="596"/>
      <c r="J31" s="596"/>
      <c r="K31" s="596">
        <f t="shared" si="2"/>
        <v>0</v>
      </c>
    </row>
    <row r="32" spans="1:11" ht="15.75">
      <c r="A32" s="572" t="s">
        <v>191</v>
      </c>
      <c r="B32" s="572" t="str">
        <f t="shared" si="3"/>
        <v>Year 2018</v>
      </c>
      <c r="C32" s="572"/>
      <c r="D32" s="596">
        <f t="shared" si="4"/>
        <v>0</v>
      </c>
      <c r="E32" s="596"/>
      <c r="F32" s="597">
        <f t="shared" si="5"/>
        <v>4.0949999999999997E-3</v>
      </c>
      <c r="G32" s="572">
        <f t="shared" si="0"/>
        <v>1</v>
      </c>
      <c r="H32" s="598">
        <f t="shared" si="1"/>
        <v>0</v>
      </c>
      <c r="I32" s="596"/>
      <c r="J32" s="596"/>
      <c r="K32" s="596">
        <f t="shared" si="2"/>
        <v>0</v>
      </c>
    </row>
    <row r="33" spans="1:11" ht="15.75">
      <c r="A33" s="572"/>
      <c r="B33" s="572"/>
      <c r="C33" s="572"/>
      <c r="D33" s="596"/>
      <c r="E33" s="596"/>
      <c r="F33" s="597"/>
      <c r="G33" s="572"/>
      <c r="H33" s="596">
        <f>SUM(H21:H32)</f>
        <v>0</v>
      </c>
      <c r="I33" s="596"/>
      <c r="J33" s="596"/>
      <c r="K33" s="599">
        <f>SUM(K21:K32)</f>
        <v>0</v>
      </c>
    </row>
    <row r="34" spans="1:11" ht="15.75">
      <c r="A34" s="572"/>
      <c r="B34" s="572"/>
      <c r="C34" s="572"/>
      <c r="D34" s="596"/>
      <c r="E34" s="596"/>
      <c r="F34" s="597"/>
      <c r="G34" s="572"/>
      <c r="H34" s="596"/>
      <c r="I34" s="596" t="s">
        <v>114</v>
      </c>
      <c r="J34" s="596"/>
      <c r="K34" s="2"/>
    </row>
    <row r="35" spans="1:11" ht="15.75">
      <c r="A35" s="572"/>
      <c r="B35" s="572"/>
      <c r="C35" s="572"/>
      <c r="D35" s="582"/>
      <c r="E35" s="582"/>
      <c r="F35" s="597"/>
      <c r="G35" s="572"/>
      <c r="H35" s="600" t="s">
        <v>562</v>
      </c>
      <c r="I35" s="596"/>
      <c r="J35" s="596"/>
      <c r="K35" s="596"/>
    </row>
    <row r="36" spans="1:11" ht="15.75">
      <c r="A36" s="572" t="s">
        <v>563</v>
      </c>
      <c r="B36" s="572" t="str">
        <f>"Year 2019"</f>
        <v>Year 2019</v>
      </c>
      <c r="C36" s="572"/>
      <c r="D36" s="582">
        <f>K33</f>
        <v>0</v>
      </c>
      <c r="E36" s="582"/>
      <c r="F36" s="597">
        <f>+F32</f>
        <v>4.0949999999999997E-3</v>
      </c>
      <c r="G36" s="572">
        <v>12</v>
      </c>
      <c r="H36" s="596">
        <f>+G36*F36*D36</f>
        <v>0</v>
      </c>
      <c r="I36" s="596"/>
      <c r="J36" s="596"/>
      <c r="K36" s="599">
        <f>+D36+H36</f>
        <v>0</v>
      </c>
    </row>
    <row r="37" spans="1:11" ht="15.75">
      <c r="A37" s="572"/>
      <c r="B37" s="572"/>
      <c r="C37" s="572"/>
      <c r="D37" s="582"/>
      <c r="E37" s="582"/>
      <c r="F37" s="597"/>
      <c r="G37" s="572"/>
      <c r="H37" s="596"/>
      <c r="I37" s="596"/>
      <c r="J37" s="596"/>
      <c r="K37" s="596"/>
    </row>
    <row r="38" spans="1:11" ht="15.75">
      <c r="A38" s="601" t="s">
        <v>564</v>
      </c>
      <c r="B38" s="572"/>
      <c r="C38" s="572"/>
      <c r="D38" s="596"/>
      <c r="E38" s="596"/>
      <c r="F38" s="597"/>
      <c r="G38" s="572"/>
      <c r="H38" s="600" t="s">
        <v>558</v>
      </c>
      <c r="I38" s="596"/>
      <c r="J38" s="596"/>
      <c r="K38" s="596"/>
    </row>
    <row r="39" spans="1:11" ht="15.75">
      <c r="A39" s="572" t="s">
        <v>185</v>
      </c>
      <c r="B39" s="572" t="str">
        <f>"Year 2020"</f>
        <v>Year 2020</v>
      </c>
      <c r="C39" s="572"/>
      <c r="D39" s="602">
        <f>-K36</f>
        <v>0</v>
      </c>
      <c r="E39" s="582"/>
      <c r="F39" s="597">
        <f>+F32</f>
        <v>4.0949999999999997E-3</v>
      </c>
      <c r="G39" s="572"/>
      <c r="H39" s="596">
        <f xml:space="preserve"> -F39*D39</f>
        <v>0</v>
      </c>
      <c r="I39" s="596">
        <f>PMT(F39,12,K$36)</f>
        <v>0</v>
      </c>
      <c r="J39" s="596"/>
      <c r="K39" s="596">
        <f>(+D39+D39*F39-I39)*-1</f>
        <v>0</v>
      </c>
    </row>
    <row r="40" spans="1:11" ht="15.75">
      <c r="A40" s="572" t="s">
        <v>559</v>
      </c>
      <c r="B40" s="572" t="str">
        <f>+B39</f>
        <v>Year 2020</v>
      </c>
      <c r="C40" s="572"/>
      <c r="D40" s="582">
        <f>-K39</f>
        <v>0</v>
      </c>
      <c r="E40" s="582"/>
      <c r="F40" s="597">
        <f>+F39</f>
        <v>4.0949999999999997E-3</v>
      </c>
      <c r="G40" s="572"/>
      <c r="H40" s="596">
        <f xml:space="preserve"> -F40*D40</f>
        <v>0</v>
      </c>
      <c r="I40" s="596">
        <f>I39</f>
        <v>0</v>
      </c>
      <c r="J40" s="596"/>
      <c r="K40" s="596">
        <f t="shared" ref="K40:K50" si="6">(+D40+D40*F40-I40)*-1</f>
        <v>0</v>
      </c>
    </row>
    <row r="41" spans="1:11" ht="15.75">
      <c r="A41" s="572" t="s">
        <v>186</v>
      </c>
      <c r="B41" s="572" t="str">
        <f>+B40</f>
        <v>Year 2020</v>
      </c>
      <c r="C41" s="572"/>
      <c r="D41" s="582">
        <f t="shared" ref="D41:D50" si="7">-K40</f>
        <v>0</v>
      </c>
      <c r="E41" s="582"/>
      <c r="F41" s="597">
        <f t="shared" ref="F41:F50" si="8">+F40</f>
        <v>4.0949999999999997E-3</v>
      </c>
      <c r="G41" s="572"/>
      <c r="H41" s="596">
        <f t="shared" ref="H41:H50" si="9" xml:space="preserve"> -F41*D41</f>
        <v>0</v>
      </c>
      <c r="I41" s="596">
        <f t="shared" ref="I41:I50" si="10">I40</f>
        <v>0</v>
      </c>
      <c r="J41" s="596"/>
      <c r="K41" s="596">
        <f t="shared" si="6"/>
        <v>0</v>
      </c>
    </row>
    <row r="42" spans="1:11" ht="15.75">
      <c r="A42" s="572" t="s">
        <v>187</v>
      </c>
      <c r="B42" s="572" t="str">
        <f>+B41</f>
        <v>Year 2020</v>
      </c>
      <c r="C42" s="572"/>
      <c r="D42" s="582">
        <f t="shared" si="7"/>
        <v>0</v>
      </c>
      <c r="E42" s="582"/>
      <c r="F42" s="597">
        <f t="shared" si="8"/>
        <v>4.0949999999999997E-3</v>
      </c>
      <c r="G42" s="572"/>
      <c r="H42" s="596">
        <f t="shared" si="9"/>
        <v>0</v>
      </c>
      <c r="I42" s="596">
        <f t="shared" si="10"/>
        <v>0</v>
      </c>
      <c r="J42" s="596"/>
      <c r="K42" s="596">
        <f t="shared" si="6"/>
        <v>0</v>
      </c>
    </row>
    <row r="43" spans="1:11" ht="15.75">
      <c r="A43" s="572" t="s">
        <v>188</v>
      </c>
      <c r="B43" s="572" t="str">
        <f>+B42</f>
        <v>Year 2020</v>
      </c>
      <c r="C43" s="572"/>
      <c r="D43" s="582">
        <f t="shared" si="7"/>
        <v>0</v>
      </c>
      <c r="E43" s="582"/>
      <c r="F43" s="597">
        <f t="shared" si="8"/>
        <v>4.0949999999999997E-3</v>
      </c>
      <c r="G43" s="572"/>
      <c r="H43" s="596">
        <f t="shared" si="9"/>
        <v>0</v>
      </c>
      <c r="I43" s="596">
        <f>I42</f>
        <v>0</v>
      </c>
      <c r="J43" s="596"/>
      <c r="K43" s="596">
        <f t="shared" si="6"/>
        <v>0</v>
      </c>
    </row>
    <row r="44" spans="1:11" ht="15.75">
      <c r="A44" s="572" t="s">
        <v>382</v>
      </c>
      <c r="B44" s="572" t="str">
        <f>B43</f>
        <v>Year 2020</v>
      </c>
      <c r="C44" s="2"/>
      <c r="D44" s="582">
        <f t="shared" si="7"/>
        <v>0</v>
      </c>
      <c r="E44" s="582"/>
      <c r="F44" s="597">
        <f t="shared" si="8"/>
        <v>4.0949999999999997E-3</v>
      </c>
      <c r="G44" s="572"/>
      <c r="H44" s="596">
        <f t="shared" si="9"/>
        <v>0</v>
      </c>
      <c r="I44" s="596">
        <f t="shared" si="10"/>
        <v>0</v>
      </c>
      <c r="J44" s="596"/>
      <c r="K44" s="596">
        <f t="shared" si="6"/>
        <v>0</v>
      </c>
    </row>
    <row r="45" spans="1:11" ht="15.75">
      <c r="A45" s="572" t="s">
        <v>189</v>
      </c>
      <c r="B45" s="572" t="str">
        <f t="shared" ref="B45:B50" si="11">+B44</f>
        <v>Year 2020</v>
      </c>
      <c r="C45" s="572"/>
      <c r="D45" s="582">
        <f t="shared" si="7"/>
        <v>0</v>
      </c>
      <c r="E45" s="582"/>
      <c r="F45" s="597">
        <f t="shared" si="8"/>
        <v>4.0949999999999997E-3</v>
      </c>
      <c r="G45" s="572"/>
      <c r="H45" s="596">
        <f t="shared" si="9"/>
        <v>0</v>
      </c>
      <c r="I45" s="596">
        <f t="shared" si="10"/>
        <v>0</v>
      </c>
      <c r="J45" s="596"/>
      <c r="K45" s="596">
        <f t="shared" si="6"/>
        <v>0</v>
      </c>
    </row>
    <row r="46" spans="1:11" ht="15.75">
      <c r="A46" s="572" t="s">
        <v>190</v>
      </c>
      <c r="B46" s="572" t="str">
        <f t="shared" si="11"/>
        <v>Year 2020</v>
      </c>
      <c r="C46" s="572"/>
      <c r="D46" s="582">
        <f t="shared" si="7"/>
        <v>0</v>
      </c>
      <c r="E46" s="582"/>
      <c r="F46" s="597">
        <f t="shared" si="8"/>
        <v>4.0949999999999997E-3</v>
      </c>
      <c r="G46" s="572"/>
      <c r="H46" s="596">
        <f t="shared" si="9"/>
        <v>0</v>
      </c>
      <c r="I46" s="596">
        <f t="shared" si="10"/>
        <v>0</v>
      </c>
      <c r="J46" s="596"/>
      <c r="K46" s="596">
        <f t="shared" si="6"/>
        <v>0</v>
      </c>
    </row>
    <row r="47" spans="1:11" ht="15.75">
      <c r="A47" s="572" t="s">
        <v>192</v>
      </c>
      <c r="B47" s="572" t="str">
        <f t="shared" si="11"/>
        <v>Year 2020</v>
      </c>
      <c r="C47" s="572"/>
      <c r="D47" s="582">
        <f t="shared" si="7"/>
        <v>0</v>
      </c>
      <c r="E47" s="582"/>
      <c r="F47" s="597">
        <f t="shared" si="8"/>
        <v>4.0949999999999997E-3</v>
      </c>
      <c r="G47" s="572"/>
      <c r="H47" s="596">
        <f t="shared" si="9"/>
        <v>0</v>
      </c>
      <c r="I47" s="596">
        <f>I46</f>
        <v>0</v>
      </c>
      <c r="J47" s="596"/>
      <c r="K47" s="596">
        <f t="shared" si="6"/>
        <v>0</v>
      </c>
    </row>
    <row r="48" spans="1:11" ht="15.75">
      <c r="A48" s="572" t="s">
        <v>560</v>
      </c>
      <c r="B48" s="572" t="str">
        <f t="shared" si="11"/>
        <v>Year 2020</v>
      </c>
      <c r="C48" s="572"/>
      <c r="D48" s="582">
        <f t="shared" si="7"/>
        <v>0</v>
      </c>
      <c r="E48" s="582"/>
      <c r="F48" s="597">
        <f t="shared" si="8"/>
        <v>4.0949999999999997E-3</v>
      </c>
      <c r="G48" s="572"/>
      <c r="H48" s="596">
        <f t="shared" si="9"/>
        <v>0</v>
      </c>
      <c r="I48" s="596">
        <f t="shared" si="10"/>
        <v>0</v>
      </c>
      <c r="J48" s="596"/>
      <c r="K48" s="596">
        <f t="shared" si="6"/>
        <v>0</v>
      </c>
    </row>
    <row r="49" spans="1:11" ht="15.75">
      <c r="A49" s="572" t="s">
        <v>561</v>
      </c>
      <c r="B49" s="572" t="str">
        <f t="shared" si="11"/>
        <v>Year 2020</v>
      </c>
      <c r="C49" s="572"/>
      <c r="D49" s="582">
        <f t="shared" si="7"/>
        <v>0</v>
      </c>
      <c r="E49" s="582"/>
      <c r="F49" s="597">
        <f t="shared" si="8"/>
        <v>4.0949999999999997E-3</v>
      </c>
      <c r="G49" s="572"/>
      <c r="H49" s="596">
        <f t="shared" si="9"/>
        <v>0</v>
      </c>
      <c r="I49" s="596">
        <f t="shared" si="10"/>
        <v>0</v>
      </c>
      <c r="J49" s="596"/>
      <c r="K49" s="596">
        <f t="shared" si="6"/>
        <v>0</v>
      </c>
    </row>
    <row r="50" spans="1:11" ht="15.75">
      <c r="A50" s="572" t="s">
        <v>191</v>
      </c>
      <c r="B50" s="572" t="str">
        <f t="shared" si="11"/>
        <v>Year 2020</v>
      </c>
      <c r="C50" s="572"/>
      <c r="D50" s="582">
        <f t="shared" si="7"/>
        <v>0</v>
      </c>
      <c r="E50" s="582"/>
      <c r="F50" s="597">
        <f t="shared" si="8"/>
        <v>4.0949999999999997E-3</v>
      </c>
      <c r="G50" s="572"/>
      <c r="H50" s="598">
        <f t="shared" si="9"/>
        <v>0</v>
      </c>
      <c r="I50" s="596">
        <f t="shared" si="10"/>
        <v>0</v>
      </c>
      <c r="J50" s="596"/>
      <c r="K50" s="596">
        <f t="shared" si="6"/>
        <v>0</v>
      </c>
    </row>
    <row r="51" spans="1:11" ht="15.75">
      <c r="A51" s="572"/>
      <c r="B51" s="572"/>
      <c r="C51" s="572"/>
      <c r="D51" s="582"/>
      <c r="E51" s="582"/>
      <c r="F51" s="597"/>
      <c r="G51" s="572"/>
      <c r="H51" s="596">
        <f>SUM(H39:H50)</f>
        <v>0</v>
      </c>
      <c r="I51" s="596"/>
      <c r="J51" s="596"/>
      <c r="K51" s="596"/>
    </row>
    <row r="52" spans="1:11" ht="15">
      <c r="A52" s="2"/>
      <c r="B52" s="2"/>
      <c r="C52" s="2"/>
      <c r="D52" s="2"/>
      <c r="E52" s="2"/>
      <c r="F52" s="2"/>
      <c r="G52" s="2"/>
      <c r="H52" s="2"/>
      <c r="I52" s="603"/>
      <c r="J52" s="2"/>
      <c r="K52" s="2"/>
    </row>
    <row r="53" spans="1:11" ht="15.75">
      <c r="A53" s="572" t="s">
        <v>569</v>
      </c>
      <c r="B53" s="2"/>
      <c r="C53" s="2"/>
      <c r="D53" s="2"/>
      <c r="E53" s="2"/>
      <c r="F53" s="2"/>
      <c r="G53" s="2"/>
      <c r="H53" s="2"/>
      <c r="I53" s="604">
        <f>(SUM(I39:I50)*-1)</f>
        <v>0</v>
      </c>
      <c r="J53" s="2"/>
      <c r="K53" s="2"/>
    </row>
    <row r="54" spans="1:11" ht="15.75">
      <c r="A54" s="572" t="s">
        <v>565</v>
      </c>
      <c r="B54" s="2"/>
      <c r="C54" s="2"/>
      <c r="D54" s="2"/>
      <c r="E54" s="2"/>
      <c r="F54" s="2"/>
      <c r="G54" s="2"/>
      <c r="H54" s="2"/>
      <c r="I54" s="605">
        <f>+H10</f>
        <v>0</v>
      </c>
      <c r="J54" s="2"/>
      <c r="K54" s="2"/>
    </row>
    <row r="55" spans="1:11" ht="15.75">
      <c r="A55" s="572" t="s">
        <v>566</v>
      </c>
      <c r="B55" s="2"/>
      <c r="C55" s="2"/>
      <c r="D55" s="2"/>
      <c r="E55" s="2"/>
      <c r="F55" s="2"/>
      <c r="G55" s="2"/>
      <c r="H55" s="2"/>
      <c r="I55" s="604">
        <f>(I53+I54)</f>
        <v>0</v>
      </c>
      <c r="J55" s="2"/>
      <c r="K55" s="2"/>
    </row>
    <row r="57" spans="1:11" ht="96" customHeight="1">
      <c r="A57" s="1331" t="s">
        <v>570</v>
      </c>
      <c r="B57" s="1331"/>
      <c r="C57" s="1331"/>
      <c r="D57" s="1331"/>
      <c r="E57" s="137"/>
      <c r="F57" s="137"/>
      <c r="G57" s="137"/>
      <c r="H57" s="137"/>
      <c r="I57" s="137"/>
      <c r="J57" s="137"/>
      <c r="K57" s="137"/>
    </row>
  </sheetData>
  <mergeCells count="5">
    <mergeCell ref="A1:K1"/>
    <mergeCell ref="A2:K2"/>
    <mergeCell ref="A3:K3"/>
    <mergeCell ref="D4:G4"/>
    <mergeCell ref="A57:D57"/>
  </mergeCells>
  <pageMargins left="0.7" right="0.7" top="0.75" bottom="0.75" header="0.3" footer="0.3"/>
  <pageSetup scale="5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K57"/>
  <sheetViews>
    <sheetView tabSelected="1" view="pageBreakPreview" zoomScale="60" zoomScaleNormal="100" workbookViewId="0">
      <selection activeCell="D11" sqref="D11"/>
    </sheetView>
  </sheetViews>
  <sheetFormatPr defaultRowHeight="12.75"/>
  <cols>
    <col min="1" max="1" width="20.42578125" customWidth="1"/>
    <col min="4" max="4" width="21.5703125" customWidth="1"/>
    <col min="5" max="5" width="17.140625" customWidth="1"/>
    <col min="6" max="6" width="10.5703125" customWidth="1"/>
    <col min="8" max="8" width="15.42578125" customWidth="1"/>
    <col min="9" max="9" width="15.5703125" customWidth="1"/>
    <col min="11" max="11" width="14.85546875" customWidth="1"/>
  </cols>
  <sheetData>
    <row r="1" spans="1:11" ht="15.75">
      <c r="A1" s="1329" t="s">
        <v>387</v>
      </c>
      <c r="B1" s="1329"/>
      <c r="C1" s="1329"/>
      <c r="D1" s="1329"/>
      <c r="E1" s="1329"/>
      <c r="F1" s="1329"/>
      <c r="G1" s="1329"/>
      <c r="H1" s="1329"/>
      <c r="I1" s="1329"/>
      <c r="J1" s="1329"/>
      <c r="K1" s="1329"/>
    </row>
    <row r="2" spans="1:11" ht="15.75">
      <c r="A2" s="1330" t="s">
        <v>567</v>
      </c>
      <c r="B2" s="1330"/>
      <c r="C2" s="1330"/>
      <c r="D2" s="1330"/>
      <c r="E2" s="1330"/>
      <c r="F2" s="1330"/>
      <c r="G2" s="1330"/>
      <c r="H2" s="1330"/>
      <c r="I2" s="1330"/>
      <c r="J2" s="1330"/>
      <c r="K2" s="1330"/>
    </row>
    <row r="3" spans="1:11" ht="15.75">
      <c r="A3" s="1330" t="s">
        <v>568</v>
      </c>
      <c r="B3" s="1330"/>
      <c r="C3" s="1330"/>
      <c r="D3" s="1330"/>
      <c r="E3" s="1330"/>
      <c r="F3" s="1330"/>
      <c r="G3" s="1330"/>
      <c r="H3" s="1330"/>
      <c r="I3" s="1330"/>
      <c r="J3" s="1330"/>
      <c r="K3" s="1330"/>
    </row>
    <row r="4" spans="1:11" ht="15.75">
      <c r="A4" s="2"/>
      <c r="B4" s="2"/>
      <c r="C4" s="2"/>
      <c r="D4" s="1330"/>
      <c r="E4" s="1330"/>
      <c r="F4" s="1330"/>
      <c r="G4" s="1330"/>
      <c r="H4" s="2"/>
      <c r="I4" s="2"/>
      <c r="J4" s="2"/>
      <c r="K4" s="2"/>
    </row>
    <row r="7" spans="1:11" ht="16.5" thickBot="1">
      <c r="A7" s="571"/>
      <c r="B7" s="572"/>
      <c r="C7" s="572"/>
      <c r="D7" s="572"/>
      <c r="E7" s="572"/>
      <c r="F7" s="572"/>
      <c r="G7" s="572"/>
      <c r="H7" s="572"/>
      <c r="I7" s="572"/>
      <c r="J7" s="572"/>
      <c r="K7" s="572"/>
    </row>
    <row r="8" spans="1:11" ht="78.75">
      <c r="A8" s="573" t="str">
        <f>"Reconciliation Revenue Requirement For Year 2018 Available May 25, 2019"</f>
        <v>Reconciliation Revenue Requirement For Year 2018 Available May 25, 2019</v>
      </c>
      <c r="B8" s="572"/>
      <c r="C8" s="572"/>
      <c r="D8" s="573" t="s">
        <v>1077</v>
      </c>
      <c r="E8" s="572"/>
      <c r="F8" s="572"/>
      <c r="G8" s="2"/>
      <c r="H8" s="573" t="s">
        <v>548</v>
      </c>
      <c r="I8" s="2"/>
      <c r="J8" s="2"/>
      <c r="K8" s="2"/>
    </row>
    <row r="9" spans="1:11" ht="15.75">
      <c r="A9" s="574" t="s">
        <v>114</v>
      </c>
      <c r="B9" s="572"/>
      <c r="C9" s="572"/>
      <c r="D9" s="574"/>
      <c r="E9" s="572"/>
      <c r="F9" s="572"/>
      <c r="G9" s="2"/>
      <c r="H9" s="575"/>
      <c r="I9" s="2"/>
      <c r="J9" s="2"/>
      <c r="K9" s="2"/>
    </row>
    <row r="10" spans="1:11" ht="16.5" thickBot="1">
      <c r="A10" s="651">
        <v>0</v>
      </c>
      <c r="B10" s="576" t="str">
        <f>"-"</f>
        <v>-</v>
      </c>
      <c r="C10" s="577"/>
      <c r="D10" s="651">
        <v>0</v>
      </c>
      <c r="E10" s="578"/>
      <c r="F10" s="579" t="str">
        <f>"="</f>
        <v>=</v>
      </c>
      <c r="G10" s="580"/>
      <c r="H10" s="581">
        <f>IF(A10=0,0,D10-A10)</f>
        <v>0</v>
      </c>
      <c r="I10" s="2"/>
      <c r="J10" s="2"/>
      <c r="K10" s="2"/>
    </row>
    <row r="11" spans="1:11" ht="15.75">
      <c r="A11" s="582"/>
      <c r="B11" s="583"/>
      <c r="C11" s="583"/>
      <c r="D11" s="582"/>
      <c r="E11" s="582"/>
      <c r="F11" s="583"/>
      <c r="G11" s="582"/>
      <c r="H11" s="2"/>
      <c r="I11" s="2"/>
      <c r="J11" s="2"/>
      <c r="K11" s="2"/>
    </row>
    <row r="12" spans="1:11" ht="16.5" thickBot="1">
      <c r="A12" s="584"/>
      <c r="B12" s="585"/>
      <c r="C12" s="585"/>
      <c r="D12" s="584"/>
      <c r="E12" s="584"/>
      <c r="F12" s="585"/>
      <c r="G12" s="584"/>
      <c r="H12" s="586"/>
      <c r="I12" s="586"/>
      <c r="J12" s="586"/>
      <c r="K12" s="586"/>
    </row>
    <row r="13" spans="1:11" ht="15.75">
      <c r="A13" s="587"/>
      <c r="B13" s="583"/>
      <c r="C13" s="583"/>
      <c r="D13" s="582"/>
      <c r="E13" s="582"/>
      <c r="F13" s="583"/>
      <c r="G13" s="582"/>
      <c r="H13" s="2"/>
      <c r="I13" s="2"/>
      <c r="J13" s="2"/>
      <c r="K13" s="2"/>
    </row>
    <row r="14" spans="1:11" ht="63">
      <c r="A14" s="588" t="s">
        <v>549</v>
      </c>
      <c r="B14" s="583"/>
      <c r="C14" s="583"/>
      <c r="D14" s="589" t="s">
        <v>550</v>
      </c>
      <c r="E14" s="582"/>
      <c r="F14" s="589" t="s">
        <v>551</v>
      </c>
      <c r="G14" s="590" t="s">
        <v>552</v>
      </c>
      <c r="H14" s="591" t="s">
        <v>553</v>
      </c>
      <c r="I14" s="589" t="s">
        <v>554</v>
      </c>
      <c r="J14" s="592"/>
      <c r="K14" s="589" t="s">
        <v>555</v>
      </c>
    </row>
    <row r="15" spans="1:11" ht="15.75">
      <c r="A15" s="588" t="s">
        <v>556</v>
      </c>
      <c r="B15" s="583"/>
      <c r="C15" s="583"/>
      <c r="D15" s="2"/>
      <c r="E15" s="593"/>
      <c r="F15" s="652">
        <f>'WSQ NSPR'!F15</f>
        <v>4.0949999999999997E-3</v>
      </c>
      <c r="H15" s="2"/>
      <c r="I15" s="2"/>
      <c r="J15" s="2"/>
      <c r="K15" s="2"/>
    </row>
    <row r="16" spans="1:11" ht="15.75">
      <c r="A16" s="588"/>
      <c r="B16" s="583"/>
      <c r="C16" s="583"/>
      <c r="D16" s="2"/>
      <c r="E16" s="593"/>
      <c r="F16" s="593"/>
      <c r="G16" s="582"/>
      <c r="H16" s="2"/>
      <c r="I16" s="2"/>
      <c r="J16" s="2"/>
      <c r="K16" s="2"/>
    </row>
    <row r="17" spans="1:11" ht="15.75">
      <c r="A17" s="588" t="s">
        <v>1078</v>
      </c>
      <c r="B17" s="583"/>
      <c r="C17" s="583"/>
      <c r="D17" s="2"/>
      <c r="E17" s="593"/>
      <c r="F17" s="593"/>
      <c r="G17" s="582"/>
      <c r="H17" s="2"/>
      <c r="I17" s="2"/>
      <c r="J17" s="2"/>
      <c r="K17" s="2"/>
    </row>
    <row r="18" spans="1:11" ht="15.75">
      <c r="A18" s="594" t="s">
        <v>114</v>
      </c>
      <c r="B18" s="583"/>
      <c r="C18" s="583"/>
      <c r="D18" s="583"/>
      <c r="E18" s="583"/>
      <c r="F18" s="583" t="s">
        <v>114</v>
      </c>
      <c r="G18" s="2"/>
      <c r="H18" s="2"/>
      <c r="I18" s="2"/>
      <c r="J18" s="2"/>
      <c r="K18" s="2"/>
    </row>
    <row r="19" spans="1:11" ht="15.75">
      <c r="A19" s="595"/>
      <c r="B19" s="583"/>
      <c r="C19" s="583"/>
      <c r="D19" s="583"/>
      <c r="E19" s="583"/>
      <c r="F19" s="2"/>
      <c r="G19" s="2"/>
      <c r="H19" s="590"/>
      <c r="I19" s="583"/>
      <c r="J19" s="583"/>
      <c r="K19" s="583"/>
    </row>
    <row r="20" spans="1:11" ht="15.75">
      <c r="A20" s="595" t="s">
        <v>557</v>
      </c>
      <c r="B20" s="583"/>
      <c r="C20" s="583"/>
      <c r="D20" s="583"/>
      <c r="E20" s="583"/>
      <c r="F20" s="2"/>
      <c r="G20" s="2"/>
      <c r="H20" s="590" t="s">
        <v>558</v>
      </c>
      <c r="I20" s="583"/>
      <c r="J20" s="583"/>
      <c r="K20" s="583"/>
    </row>
    <row r="21" spans="1:11" ht="15.75">
      <c r="A21" s="572" t="s">
        <v>185</v>
      </c>
      <c r="B21" s="572" t="str">
        <f>"Year 2018"</f>
        <v>Year 2018</v>
      </c>
      <c r="C21" s="572"/>
      <c r="D21" s="596">
        <f>H10/12</f>
        <v>0</v>
      </c>
      <c r="E21" s="596"/>
      <c r="F21" s="597">
        <f>+F15</f>
        <v>4.0949999999999997E-3</v>
      </c>
      <c r="G21" s="572">
        <v>12</v>
      </c>
      <c r="H21" s="596">
        <f>F21*D21*G21*-1</f>
        <v>0</v>
      </c>
      <c r="I21" s="596"/>
      <c r="J21" s="596"/>
      <c r="K21" s="596">
        <f>(-H21+D21)*-1</f>
        <v>0</v>
      </c>
    </row>
    <row r="22" spans="1:11" ht="15.75">
      <c r="A22" s="572" t="s">
        <v>559</v>
      </c>
      <c r="B22" s="572" t="str">
        <f>B21</f>
        <v>Year 2018</v>
      </c>
      <c r="C22" s="572"/>
      <c r="D22" s="596">
        <f>+D21</f>
        <v>0</v>
      </c>
      <c r="E22" s="596"/>
      <c r="F22" s="597">
        <f>+F21</f>
        <v>4.0949999999999997E-3</v>
      </c>
      <c r="G22" s="572">
        <f t="shared" ref="G22:G32" si="0">+G21-1</f>
        <v>11</v>
      </c>
      <c r="H22" s="596">
        <f t="shared" ref="H22:H32" si="1">F22*D22*G22*-1</f>
        <v>0</v>
      </c>
      <c r="I22" s="596"/>
      <c r="J22" s="596"/>
      <c r="K22" s="596">
        <f t="shared" ref="K22:K32" si="2">(-H22+D22)*-1</f>
        <v>0</v>
      </c>
    </row>
    <row r="23" spans="1:11" ht="15.75">
      <c r="A23" s="572" t="s">
        <v>186</v>
      </c>
      <c r="B23" s="572" t="str">
        <f t="shared" ref="B23:B32" si="3">B22</f>
        <v>Year 2018</v>
      </c>
      <c r="C23" s="572"/>
      <c r="D23" s="596">
        <f t="shared" ref="D23:D32" si="4">+D22</f>
        <v>0</v>
      </c>
      <c r="E23" s="596"/>
      <c r="F23" s="597">
        <f t="shared" ref="F23:F32" si="5">+F22</f>
        <v>4.0949999999999997E-3</v>
      </c>
      <c r="G23" s="572">
        <f t="shared" si="0"/>
        <v>10</v>
      </c>
      <c r="H23" s="596">
        <f t="shared" si="1"/>
        <v>0</v>
      </c>
      <c r="I23" s="596"/>
      <c r="J23" s="596"/>
      <c r="K23" s="596">
        <f t="shared" si="2"/>
        <v>0</v>
      </c>
    </row>
    <row r="24" spans="1:11" ht="15.75">
      <c r="A24" s="572" t="s">
        <v>187</v>
      </c>
      <c r="B24" s="572" t="str">
        <f t="shared" si="3"/>
        <v>Year 2018</v>
      </c>
      <c r="C24" s="572"/>
      <c r="D24" s="596">
        <f t="shared" si="4"/>
        <v>0</v>
      </c>
      <c r="E24" s="596"/>
      <c r="F24" s="597">
        <f t="shared" si="5"/>
        <v>4.0949999999999997E-3</v>
      </c>
      <c r="G24" s="572">
        <f t="shared" si="0"/>
        <v>9</v>
      </c>
      <c r="H24" s="596">
        <f t="shared" si="1"/>
        <v>0</v>
      </c>
      <c r="I24" s="596"/>
      <c r="J24" s="596"/>
      <c r="K24" s="596">
        <f t="shared" si="2"/>
        <v>0</v>
      </c>
    </row>
    <row r="25" spans="1:11" ht="15.75">
      <c r="A25" s="572" t="s">
        <v>188</v>
      </c>
      <c r="B25" s="572" t="str">
        <f t="shared" si="3"/>
        <v>Year 2018</v>
      </c>
      <c r="C25" s="572"/>
      <c r="D25" s="596">
        <f t="shared" si="4"/>
        <v>0</v>
      </c>
      <c r="E25" s="596"/>
      <c r="F25" s="597">
        <f t="shared" si="5"/>
        <v>4.0949999999999997E-3</v>
      </c>
      <c r="G25" s="572">
        <f t="shared" si="0"/>
        <v>8</v>
      </c>
      <c r="H25" s="596">
        <f t="shared" si="1"/>
        <v>0</v>
      </c>
      <c r="I25" s="596"/>
      <c r="J25" s="596"/>
      <c r="K25" s="596">
        <f t="shared" si="2"/>
        <v>0</v>
      </c>
    </row>
    <row r="26" spans="1:11" ht="15.75">
      <c r="A26" s="572" t="s">
        <v>382</v>
      </c>
      <c r="B26" s="572" t="str">
        <f t="shared" si="3"/>
        <v>Year 2018</v>
      </c>
      <c r="C26" s="572"/>
      <c r="D26" s="596">
        <f t="shared" si="4"/>
        <v>0</v>
      </c>
      <c r="E26" s="596"/>
      <c r="F26" s="597">
        <f t="shared" si="5"/>
        <v>4.0949999999999997E-3</v>
      </c>
      <c r="G26" s="572">
        <f t="shared" si="0"/>
        <v>7</v>
      </c>
      <c r="H26" s="596">
        <f t="shared" si="1"/>
        <v>0</v>
      </c>
      <c r="I26" s="596"/>
      <c r="J26" s="596"/>
      <c r="K26" s="596">
        <f t="shared" si="2"/>
        <v>0</v>
      </c>
    </row>
    <row r="27" spans="1:11" ht="15.75">
      <c r="A27" s="572" t="s">
        <v>189</v>
      </c>
      <c r="B27" s="572" t="str">
        <f t="shared" si="3"/>
        <v>Year 2018</v>
      </c>
      <c r="C27" s="572"/>
      <c r="D27" s="596">
        <f t="shared" si="4"/>
        <v>0</v>
      </c>
      <c r="E27" s="596"/>
      <c r="F27" s="597">
        <f t="shared" si="5"/>
        <v>4.0949999999999997E-3</v>
      </c>
      <c r="G27" s="572">
        <f t="shared" si="0"/>
        <v>6</v>
      </c>
      <c r="H27" s="596">
        <f t="shared" si="1"/>
        <v>0</v>
      </c>
      <c r="I27" s="596"/>
      <c r="J27" s="596"/>
      <c r="K27" s="596">
        <f t="shared" si="2"/>
        <v>0</v>
      </c>
    </row>
    <row r="28" spans="1:11" ht="15.75">
      <c r="A28" s="572" t="s">
        <v>190</v>
      </c>
      <c r="B28" s="572" t="str">
        <f t="shared" si="3"/>
        <v>Year 2018</v>
      </c>
      <c r="C28" s="572"/>
      <c r="D28" s="596">
        <f t="shared" si="4"/>
        <v>0</v>
      </c>
      <c r="E28" s="596"/>
      <c r="F28" s="597">
        <f t="shared" si="5"/>
        <v>4.0949999999999997E-3</v>
      </c>
      <c r="G28" s="572">
        <f t="shared" si="0"/>
        <v>5</v>
      </c>
      <c r="H28" s="596">
        <f t="shared" si="1"/>
        <v>0</v>
      </c>
      <c r="I28" s="596"/>
      <c r="J28" s="596"/>
      <c r="K28" s="596">
        <f t="shared" si="2"/>
        <v>0</v>
      </c>
    </row>
    <row r="29" spans="1:11" ht="15.75">
      <c r="A29" s="572" t="s">
        <v>192</v>
      </c>
      <c r="B29" s="572" t="str">
        <f t="shared" si="3"/>
        <v>Year 2018</v>
      </c>
      <c r="C29" s="572"/>
      <c r="D29" s="596">
        <f t="shared" si="4"/>
        <v>0</v>
      </c>
      <c r="E29" s="596"/>
      <c r="F29" s="597">
        <f t="shared" si="5"/>
        <v>4.0949999999999997E-3</v>
      </c>
      <c r="G29" s="572">
        <f t="shared" si="0"/>
        <v>4</v>
      </c>
      <c r="H29" s="596">
        <f t="shared" si="1"/>
        <v>0</v>
      </c>
      <c r="I29" s="596"/>
      <c r="J29" s="596"/>
      <c r="K29" s="596">
        <f t="shared" si="2"/>
        <v>0</v>
      </c>
    </row>
    <row r="30" spans="1:11" ht="15.75">
      <c r="A30" s="572" t="s">
        <v>560</v>
      </c>
      <c r="B30" s="572" t="str">
        <f t="shared" si="3"/>
        <v>Year 2018</v>
      </c>
      <c r="C30" s="572"/>
      <c r="D30" s="596">
        <f t="shared" si="4"/>
        <v>0</v>
      </c>
      <c r="E30" s="596"/>
      <c r="F30" s="597">
        <f t="shared" si="5"/>
        <v>4.0949999999999997E-3</v>
      </c>
      <c r="G30" s="572">
        <f t="shared" si="0"/>
        <v>3</v>
      </c>
      <c r="H30" s="596">
        <f t="shared" si="1"/>
        <v>0</v>
      </c>
      <c r="I30" s="596"/>
      <c r="J30" s="596"/>
      <c r="K30" s="596">
        <f t="shared" si="2"/>
        <v>0</v>
      </c>
    </row>
    <row r="31" spans="1:11" ht="15.75">
      <c r="A31" s="572" t="s">
        <v>561</v>
      </c>
      <c r="B31" s="572" t="str">
        <f t="shared" si="3"/>
        <v>Year 2018</v>
      </c>
      <c r="C31" s="572"/>
      <c r="D31" s="596">
        <f t="shared" si="4"/>
        <v>0</v>
      </c>
      <c r="E31" s="596"/>
      <c r="F31" s="597">
        <f t="shared" si="5"/>
        <v>4.0949999999999997E-3</v>
      </c>
      <c r="G31" s="572">
        <f t="shared" si="0"/>
        <v>2</v>
      </c>
      <c r="H31" s="596">
        <f t="shared" si="1"/>
        <v>0</v>
      </c>
      <c r="I31" s="596"/>
      <c r="J31" s="596"/>
      <c r="K31" s="596">
        <f t="shared" si="2"/>
        <v>0</v>
      </c>
    </row>
    <row r="32" spans="1:11" ht="15.75">
      <c r="A32" s="572" t="s">
        <v>191</v>
      </c>
      <c r="B32" s="572" t="str">
        <f t="shared" si="3"/>
        <v>Year 2018</v>
      </c>
      <c r="C32" s="572"/>
      <c r="D32" s="596">
        <f t="shared" si="4"/>
        <v>0</v>
      </c>
      <c r="E32" s="596"/>
      <c r="F32" s="597">
        <f t="shared" si="5"/>
        <v>4.0949999999999997E-3</v>
      </c>
      <c r="G32" s="572">
        <f t="shared" si="0"/>
        <v>1</v>
      </c>
      <c r="H32" s="598">
        <f t="shared" si="1"/>
        <v>0</v>
      </c>
      <c r="I32" s="596"/>
      <c r="J32" s="596"/>
      <c r="K32" s="596">
        <f t="shared" si="2"/>
        <v>0</v>
      </c>
    </row>
    <row r="33" spans="1:11" ht="15.75">
      <c r="A33" s="572"/>
      <c r="B33" s="572"/>
      <c r="C33" s="572"/>
      <c r="D33" s="596"/>
      <c r="E33" s="596"/>
      <c r="F33" s="597"/>
      <c r="G33" s="572"/>
      <c r="H33" s="596">
        <f>SUM(H21:H32)</f>
        <v>0</v>
      </c>
      <c r="I33" s="596"/>
      <c r="J33" s="596"/>
      <c r="K33" s="599">
        <f>SUM(K21:K32)</f>
        <v>0</v>
      </c>
    </row>
    <row r="34" spans="1:11" ht="15.75">
      <c r="A34" s="572"/>
      <c r="B34" s="572"/>
      <c r="C34" s="572"/>
      <c r="D34" s="596"/>
      <c r="E34" s="596"/>
      <c r="F34" s="597"/>
      <c r="G34" s="572"/>
      <c r="H34" s="596"/>
      <c r="I34" s="596" t="s">
        <v>114</v>
      </c>
      <c r="J34" s="596"/>
      <c r="K34" s="2"/>
    </row>
    <row r="35" spans="1:11" ht="15.75">
      <c r="A35" s="572"/>
      <c r="B35" s="572"/>
      <c r="C35" s="572"/>
      <c r="D35" s="582"/>
      <c r="E35" s="582"/>
      <c r="F35" s="597"/>
      <c r="G35" s="572"/>
      <c r="H35" s="600" t="s">
        <v>562</v>
      </c>
      <c r="I35" s="596"/>
      <c r="J35" s="596"/>
      <c r="K35" s="596"/>
    </row>
    <row r="36" spans="1:11" ht="15.75">
      <c r="A36" s="572" t="s">
        <v>563</v>
      </c>
      <c r="B36" s="572" t="str">
        <f>"Year 2019"</f>
        <v>Year 2019</v>
      </c>
      <c r="C36" s="572"/>
      <c r="D36" s="582">
        <f>K33</f>
        <v>0</v>
      </c>
      <c r="E36" s="582"/>
      <c r="F36" s="597">
        <f>+F32</f>
        <v>4.0949999999999997E-3</v>
      </c>
      <c r="G36" s="572">
        <v>12</v>
      </c>
      <c r="H36" s="596">
        <f>+G36*F36*D36</f>
        <v>0</v>
      </c>
      <c r="I36" s="596"/>
      <c r="J36" s="596"/>
      <c r="K36" s="599">
        <f>+D36+H36</f>
        <v>0</v>
      </c>
    </row>
    <row r="37" spans="1:11" ht="15.75">
      <c r="A37" s="572"/>
      <c r="B37" s="572"/>
      <c r="C37" s="572"/>
      <c r="D37" s="582"/>
      <c r="E37" s="582"/>
      <c r="F37" s="597"/>
      <c r="G37" s="572"/>
      <c r="H37" s="596"/>
      <c r="I37" s="596"/>
      <c r="J37" s="596"/>
      <c r="K37" s="596"/>
    </row>
    <row r="38" spans="1:11" ht="15.75">
      <c r="A38" s="601" t="s">
        <v>564</v>
      </c>
      <c r="B38" s="572"/>
      <c r="C38" s="572"/>
      <c r="D38" s="596"/>
      <c r="E38" s="596"/>
      <c r="F38" s="597"/>
      <c r="G38" s="572"/>
      <c r="H38" s="600" t="s">
        <v>558</v>
      </c>
      <c r="I38" s="596"/>
      <c r="J38" s="596"/>
      <c r="K38" s="596"/>
    </row>
    <row r="39" spans="1:11" ht="15.75">
      <c r="A39" s="572" t="s">
        <v>185</v>
      </c>
      <c r="B39" s="572" t="str">
        <f>"Year 2020"</f>
        <v>Year 2020</v>
      </c>
      <c r="C39" s="572"/>
      <c r="D39" s="602">
        <f>-K36</f>
        <v>0</v>
      </c>
      <c r="E39" s="582"/>
      <c r="F39" s="597">
        <f>+F32</f>
        <v>4.0949999999999997E-3</v>
      </c>
      <c r="G39" s="572"/>
      <c r="H39" s="596">
        <f xml:space="preserve"> -F39*D39</f>
        <v>0</v>
      </c>
      <c r="I39" s="596">
        <f>PMT(F39,12,K$36)</f>
        <v>0</v>
      </c>
      <c r="J39" s="596"/>
      <c r="K39" s="596">
        <f>(+D39+D39*F39-I39)*-1</f>
        <v>0</v>
      </c>
    </row>
    <row r="40" spans="1:11" ht="15.75">
      <c r="A40" s="572" t="s">
        <v>559</v>
      </c>
      <c r="B40" s="572" t="str">
        <f>+B39</f>
        <v>Year 2020</v>
      </c>
      <c r="C40" s="572"/>
      <c r="D40" s="582">
        <f>-K39</f>
        <v>0</v>
      </c>
      <c r="E40" s="582"/>
      <c r="F40" s="597">
        <f>+F39</f>
        <v>4.0949999999999997E-3</v>
      </c>
      <c r="G40" s="572"/>
      <c r="H40" s="596">
        <f xml:space="preserve"> -F40*D40</f>
        <v>0</v>
      </c>
      <c r="I40" s="596">
        <f>I39</f>
        <v>0</v>
      </c>
      <c r="J40" s="596"/>
      <c r="K40" s="596">
        <f t="shared" ref="K40:K50" si="6">(+D40+D40*F40-I40)*-1</f>
        <v>0</v>
      </c>
    </row>
    <row r="41" spans="1:11" ht="15.75">
      <c r="A41" s="572" t="s">
        <v>186</v>
      </c>
      <c r="B41" s="572" t="str">
        <f>+B40</f>
        <v>Year 2020</v>
      </c>
      <c r="C41" s="572"/>
      <c r="D41" s="582">
        <f t="shared" ref="D41:D50" si="7">-K40</f>
        <v>0</v>
      </c>
      <c r="E41" s="582"/>
      <c r="F41" s="597">
        <f t="shared" ref="F41:F50" si="8">+F40</f>
        <v>4.0949999999999997E-3</v>
      </c>
      <c r="G41" s="572"/>
      <c r="H41" s="596">
        <f t="shared" ref="H41:H50" si="9" xml:space="preserve"> -F41*D41</f>
        <v>0</v>
      </c>
      <c r="I41" s="596">
        <f t="shared" ref="I41:I50" si="10">I40</f>
        <v>0</v>
      </c>
      <c r="J41" s="596"/>
      <c r="K41" s="596">
        <f t="shared" si="6"/>
        <v>0</v>
      </c>
    </row>
    <row r="42" spans="1:11" ht="15.75">
      <c r="A42" s="572" t="s">
        <v>187</v>
      </c>
      <c r="B42" s="572" t="str">
        <f>+B41</f>
        <v>Year 2020</v>
      </c>
      <c r="C42" s="572"/>
      <c r="D42" s="582">
        <f t="shared" si="7"/>
        <v>0</v>
      </c>
      <c r="E42" s="582"/>
      <c r="F42" s="597">
        <f t="shared" si="8"/>
        <v>4.0949999999999997E-3</v>
      </c>
      <c r="G42" s="572"/>
      <c r="H42" s="596">
        <f t="shared" si="9"/>
        <v>0</v>
      </c>
      <c r="I42" s="596">
        <f t="shared" si="10"/>
        <v>0</v>
      </c>
      <c r="J42" s="596"/>
      <c r="K42" s="596">
        <f t="shared" si="6"/>
        <v>0</v>
      </c>
    </row>
    <row r="43" spans="1:11" ht="15.75">
      <c r="A43" s="572" t="s">
        <v>188</v>
      </c>
      <c r="B43" s="572" t="str">
        <f>+B42</f>
        <v>Year 2020</v>
      </c>
      <c r="C43" s="572"/>
      <c r="D43" s="582">
        <f t="shared" si="7"/>
        <v>0</v>
      </c>
      <c r="E43" s="582"/>
      <c r="F43" s="597">
        <f t="shared" si="8"/>
        <v>4.0949999999999997E-3</v>
      </c>
      <c r="G43" s="572"/>
      <c r="H43" s="596">
        <f t="shared" si="9"/>
        <v>0</v>
      </c>
      <c r="I43" s="596">
        <f>I42</f>
        <v>0</v>
      </c>
      <c r="J43" s="596"/>
      <c r="K43" s="596">
        <f t="shared" si="6"/>
        <v>0</v>
      </c>
    </row>
    <row r="44" spans="1:11" ht="15.75">
      <c r="A44" s="572" t="s">
        <v>382</v>
      </c>
      <c r="B44" s="572" t="str">
        <f>B43</f>
        <v>Year 2020</v>
      </c>
      <c r="C44" s="2"/>
      <c r="D44" s="582">
        <f t="shared" si="7"/>
        <v>0</v>
      </c>
      <c r="E44" s="582"/>
      <c r="F44" s="597">
        <f t="shared" si="8"/>
        <v>4.0949999999999997E-3</v>
      </c>
      <c r="G44" s="572"/>
      <c r="H44" s="596">
        <f t="shared" si="9"/>
        <v>0</v>
      </c>
      <c r="I44" s="596">
        <f t="shared" si="10"/>
        <v>0</v>
      </c>
      <c r="J44" s="596"/>
      <c r="K44" s="596">
        <f t="shared" si="6"/>
        <v>0</v>
      </c>
    </row>
    <row r="45" spans="1:11" ht="15.75">
      <c r="A45" s="572" t="s">
        <v>189</v>
      </c>
      <c r="B45" s="572" t="str">
        <f t="shared" ref="B45:B50" si="11">+B44</f>
        <v>Year 2020</v>
      </c>
      <c r="C45" s="572"/>
      <c r="D45" s="582">
        <f t="shared" si="7"/>
        <v>0</v>
      </c>
      <c r="E45" s="582"/>
      <c r="F45" s="597">
        <f t="shared" si="8"/>
        <v>4.0949999999999997E-3</v>
      </c>
      <c r="G45" s="572"/>
      <c r="H45" s="596">
        <f t="shared" si="9"/>
        <v>0</v>
      </c>
      <c r="I45" s="596">
        <f t="shared" si="10"/>
        <v>0</v>
      </c>
      <c r="J45" s="596"/>
      <c r="K45" s="596">
        <f t="shared" si="6"/>
        <v>0</v>
      </c>
    </row>
    <row r="46" spans="1:11" ht="15.75">
      <c r="A46" s="572" t="s">
        <v>190</v>
      </c>
      <c r="B46" s="572" t="str">
        <f t="shared" si="11"/>
        <v>Year 2020</v>
      </c>
      <c r="C46" s="572"/>
      <c r="D46" s="582">
        <f t="shared" si="7"/>
        <v>0</v>
      </c>
      <c r="E46" s="582"/>
      <c r="F46" s="597">
        <f t="shared" si="8"/>
        <v>4.0949999999999997E-3</v>
      </c>
      <c r="G46" s="572"/>
      <c r="H46" s="596">
        <f t="shared" si="9"/>
        <v>0</v>
      </c>
      <c r="I46" s="596">
        <f t="shared" si="10"/>
        <v>0</v>
      </c>
      <c r="J46" s="596"/>
      <c r="K46" s="596">
        <f t="shared" si="6"/>
        <v>0</v>
      </c>
    </row>
    <row r="47" spans="1:11" ht="15.75">
      <c r="A47" s="572" t="s">
        <v>192</v>
      </c>
      <c r="B47" s="572" t="str">
        <f t="shared" si="11"/>
        <v>Year 2020</v>
      </c>
      <c r="C47" s="572"/>
      <c r="D47" s="582">
        <f t="shared" si="7"/>
        <v>0</v>
      </c>
      <c r="E47" s="582"/>
      <c r="F47" s="597">
        <f t="shared" si="8"/>
        <v>4.0949999999999997E-3</v>
      </c>
      <c r="G47" s="572"/>
      <c r="H47" s="596">
        <f t="shared" si="9"/>
        <v>0</v>
      </c>
      <c r="I47" s="596">
        <f>I46</f>
        <v>0</v>
      </c>
      <c r="J47" s="596"/>
      <c r="K47" s="596">
        <f t="shared" si="6"/>
        <v>0</v>
      </c>
    </row>
    <row r="48" spans="1:11" ht="15.75">
      <c r="A48" s="572" t="s">
        <v>560</v>
      </c>
      <c r="B48" s="572" t="str">
        <f t="shared" si="11"/>
        <v>Year 2020</v>
      </c>
      <c r="C48" s="572"/>
      <c r="D48" s="582">
        <f t="shared" si="7"/>
        <v>0</v>
      </c>
      <c r="E48" s="582"/>
      <c r="F48" s="597">
        <f t="shared" si="8"/>
        <v>4.0949999999999997E-3</v>
      </c>
      <c r="G48" s="572"/>
      <c r="H48" s="596">
        <f t="shared" si="9"/>
        <v>0</v>
      </c>
      <c r="I48" s="596">
        <f t="shared" si="10"/>
        <v>0</v>
      </c>
      <c r="J48" s="596"/>
      <c r="K48" s="596">
        <f t="shared" si="6"/>
        <v>0</v>
      </c>
    </row>
    <row r="49" spans="1:11" ht="15.75">
      <c r="A49" s="572" t="s">
        <v>561</v>
      </c>
      <c r="B49" s="572" t="str">
        <f t="shared" si="11"/>
        <v>Year 2020</v>
      </c>
      <c r="C49" s="572"/>
      <c r="D49" s="582">
        <f t="shared" si="7"/>
        <v>0</v>
      </c>
      <c r="E49" s="582"/>
      <c r="F49" s="597">
        <f t="shared" si="8"/>
        <v>4.0949999999999997E-3</v>
      </c>
      <c r="G49" s="572"/>
      <c r="H49" s="596">
        <f t="shared" si="9"/>
        <v>0</v>
      </c>
      <c r="I49" s="596">
        <f t="shared" si="10"/>
        <v>0</v>
      </c>
      <c r="J49" s="596"/>
      <c r="K49" s="596">
        <f t="shared" si="6"/>
        <v>0</v>
      </c>
    </row>
    <row r="50" spans="1:11" ht="15.75">
      <c r="A50" s="572" t="s">
        <v>191</v>
      </c>
      <c r="B50" s="572" t="str">
        <f t="shared" si="11"/>
        <v>Year 2020</v>
      </c>
      <c r="C50" s="572"/>
      <c r="D50" s="582">
        <f t="shared" si="7"/>
        <v>0</v>
      </c>
      <c r="E50" s="582"/>
      <c r="F50" s="597">
        <f t="shared" si="8"/>
        <v>4.0949999999999997E-3</v>
      </c>
      <c r="G50" s="572"/>
      <c r="H50" s="598">
        <f t="shared" si="9"/>
        <v>0</v>
      </c>
      <c r="I50" s="596">
        <f t="shared" si="10"/>
        <v>0</v>
      </c>
      <c r="J50" s="596"/>
      <c r="K50" s="596">
        <f t="shared" si="6"/>
        <v>0</v>
      </c>
    </row>
    <row r="51" spans="1:11" ht="15.75">
      <c r="A51" s="572"/>
      <c r="B51" s="572"/>
      <c r="C51" s="572"/>
      <c r="D51" s="582"/>
      <c r="E51" s="582"/>
      <c r="F51" s="597"/>
      <c r="G51" s="572"/>
      <c r="H51" s="596">
        <f>SUM(H39:H50)</f>
        <v>0</v>
      </c>
      <c r="I51" s="596"/>
      <c r="J51" s="596"/>
      <c r="K51" s="596"/>
    </row>
    <row r="52" spans="1:11" ht="15">
      <c r="A52" s="2"/>
      <c r="B52" s="2"/>
      <c r="C52" s="2"/>
      <c r="D52" s="2"/>
      <c r="E52" s="2"/>
      <c r="F52" s="2"/>
      <c r="G52" s="2"/>
      <c r="H52" s="2"/>
      <c r="I52" s="603"/>
      <c r="J52" s="2"/>
      <c r="K52" s="2"/>
    </row>
    <row r="53" spans="1:11" ht="15.75">
      <c r="A53" s="572" t="s">
        <v>569</v>
      </c>
      <c r="B53" s="2"/>
      <c r="C53" s="2"/>
      <c r="D53" s="2"/>
      <c r="E53" s="2"/>
      <c r="F53" s="2"/>
      <c r="G53" s="2"/>
      <c r="H53" s="2"/>
      <c r="I53" s="604">
        <f>(SUM(I39:I50)*-1)</f>
        <v>0</v>
      </c>
      <c r="J53" s="2"/>
      <c r="K53" s="2"/>
    </row>
    <row r="54" spans="1:11" ht="15.75">
      <c r="A54" s="572" t="s">
        <v>565</v>
      </c>
      <c r="B54" s="2"/>
      <c r="C54" s="2"/>
      <c r="D54" s="2"/>
      <c r="E54" s="2"/>
      <c r="F54" s="2"/>
      <c r="G54" s="2"/>
      <c r="H54" s="2"/>
      <c r="I54" s="605">
        <f>+H10</f>
        <v>0</v>
      </c>
      <c r="J54" s="2"/>
      <c r="K54" s="2"/>
    </row>
    <row r="55" spans="1:11" ht="15.75">
      <c r="A55" s="572" t="s">
        <v>566</v>
      </c>
      <c r="B55" s="2"/>
      <c r="C55" s="2"/>
      <c r="D55" s="2"/>
      <c r="E55" s="2"/>
      <c r="F55" s="2"/>
      <c r="G55" s="2"/>
      <c r="H55" s="2"/>
      <c r="I55" s="604">
        <f>(I53+I54)</f>
        <v>0</v>
      </c>
      <c r="J55" s="2"/>
      <c r="K55" s="2"/>
    </row>
    <row r="57" spans="1:11" ht="102" customHeight="1">
      <c r="A57" s="1331" t="s">
        <v>570</v>
      </c>
      <c r="B57" s="1331"/>
      <c r="C57" s="1331"/>
      <c r="D57" s="1331"/>
      <c r="E57" s="137"/>
      <c r="F57" s="137"/>
      <c r="G57" s="137"/>
      <c r="H57" s="137"/>
      <c r="I57" s="137"/>
      <c r="J57" s="137"/>
      <c r="K57" s="137"/>
    </row>
  </sheetData>
  <mergeCells count="5">
    <mergeCell ref="A1:K1"/>
    <mergeCell ref="A2:K2"/>
    <mergeCell ref="A3:K3"/>
    <mergeCell ref="D4:G4"/>
    <mergeCell ref="A57:D57"/>
  </mergeCells>
  <pageMargins left="0.7" right="0.7" top="0.75" bottom="0.75" header="0.3" footer="0.3"/>
  <pageSetup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Q66"/>
  <sheetViews>
    <sheetView tabSelected="1" view="pageBreakPreview" topLeftCell="A11" zoomScale="85" zoomScaleNormal="75" zoomScaleSheetLayoutView="85" workbookViewId="0">
      <selection activeCell="D11" sqref="D11"/>
    </sheetView>
  </sheetViews>
  <sheetFormatPr defaultColWidth="9.140625" defaultRowHeight="12.75"/>
  <cols>
    <col min="1" max="1" width="9.140625" style="15"/>
    <col min="2" max="2" width="0.85546875" style="24" customWidth="1"/>
    <col min="3" max="3" width="41.5703125" style="15" customWidth="1"/>
    <col min="4" max="4" width="34.42578125" style="15" bestFit="1" customWidth="1"/>
    <col min="5" max="5" width="23.140625" style="15" customWidth="1"/>
    <col min="6" max="6" width="3.140625" style="15" customWidth="1"/>
    <col min="7" max="7" width="24.5703125" style="15" customWidth="1"/>
    <col min="8" max="8" width="2.85546875" style="15" customWidth="1"/>
    <col min="9" max="9" width="20.85546875" style="15" customWidth="1"/>
    <col min="10" max="10" width="4.5703125" style="15" customWidth="1"/>
    <col min="11" max="11" width="18" style="15" bestFit="1" customWidth="1"/>
    <col min="12" max="12" width="20.42578125" style="15" customWidth="1"/>
    <col min="13" max="15" width="9.140625" style="15"/>
    <col min="16" max="16" width="10" style="15" bestFit="1" customWidth="1"/>
    <col min="17" max="17" width="17.5703125" style="15" customWidth="1"/>
    <col min="18" max="18" width="15.5703125" style="15" bestFit="1" customWidth="1"/>
    <col min="19" max="16384" width="9.140625" style="15"/>
  </cols>
  <sheetData>
    <row r="1" spans="1:15" ht="15.75">
      <c r="A1" s="657" t="s">
        <v>114</v>
      </c>
    </row>
    <row r="2" spans="1:15" ht="15.75">
      <c r="A2" s="657" t="s">
        <v>114</v>
      </c>
    </row>
    <row r="3" spans="1:15" ht="15">
      <c r="A3" s="1234" t="s">
        <v>387</v>
      </c>
      <c r="B3" s="1234"/>
      <c r="C3" s="1234"/>
      <c r="D3" s="1234"/>
      <c r="E3" s="1234"/>
      <c r="F3" s="1234"/>
      <c r="G3" s="1234"/>
      <c r="H3" s="1234"/>
      <c r="I3" s="1234"/>
      <c r="J3" s="28"/>
      <c r="K3" s="28"/>
    </row>
    <row r="4" spans="1:15" ht="15">
      <c r="A4" s="1235" t="str">
        <f>"Cost of Service Formula Rate Using Actual/Projected FF1 Balances"</f>
        <v>Cost of Service Formula Rate Using Actual/Projected FF1 Balances</v>
      </c>
      <c r="B4" s="1235"/>
      <c r="C4" s="1235"/>
      <c r="D4" s="1235"/>
      <c r="E4" s="1235"/>
      <c r="F4" s="1235"/>
      <c r="G4" s="1235"/>
      <c r="H4" s="1235"/>
      <c r="I4" s="1235"/>
      <c r="J4" s="75"/>
      <c r="K4" s="75"/>
    </row>
    <row r="5" spans="1:15" ht="15">
      <c r="A5" s="1235" t="s">
        <v>471</v>
      </c>
      <c r="B5" s="1235"/>
      <c r="C5" s="1235"/>
      <c r="D5" s="1235"/>
      <c r="E5" s="1235"/>
      <c r="F5" s="1235"/>
      <c r="G5" s="1235"/>
      <c r="H5" s="1235"/>
      <c r="I5" s="1235"/>
      <c r="J5" s="74"/>
      <c r="K5" s="74"/>
    </row>
    <row r="6" spans="1:15" ht="15">
      <c r="A6" s="1243" t="str">
        <f>TCOS!F9</f>
        <v>Ohio Power Company</v>
      </c>
      <c r="B6" s="1243"/>
      <c r="C6" s="1243"/>
      <c r="D6" s="1243"/>
      <c r="E6" s="1243"/>
      <c r="F6" s="1243"/>
      <c r="G6" s="1243"/>
      <c r="H6" s="1243"/>
      <c r="I6" s="1243"/>
      <c r="J6" s="3"/>
      <c r="K6" s="3"/>
      <c r="L6"/>
      <c r="M6"/>
    </row>
    <row r="7" spans="1:15">
      <c r="C7" s="22"/>
      <c r="D7" s="22"/>
    </row>
    <row r="8" spans="1:15">
      <c r="C8" s="5" t="s">
        <v>162</v>
      </c>
      <c r="D8" s="5" t="s">
        <v>163</v>
      </c>
      <c r="E8" s="5" t="s">
        <v>164</v>
      </c>
      <c r="G8" s="5" t="s">
        <v>165</v>
      </c>
      <c r="I8" s="5" t="s">
        <v>84</v>
      </c>
      <c r="J8" s="5"/>
      <c r="K8" s="5"/>
      <c r="L8" s="5"/>
      <c r="M8"/>
      <c r="N8"/>
      <c r="O8"/>
    </row>
    <row r="9" spans="1:15">
      <c r="A9" s="73"/>
      <c r="I9" s="10"/>
      <c r="J9"/>
      <c r="K9"/>
      <c r="L9"/>
      <c r="M9"/>
      <c r="N9"/>
      <c r="O9"/>
    </row>
    <row r="10" spans="1:15" ht="12.75" customHeight="1">
      <c r="A10" s="9" t="s">
        <v>169</v>
      </c>
      <c r="C10" s="23"/>
      <c r="D10" s="23"/>
      <c r="E10" s="1241" t="str">
        <f>"Balance @ December 31, "&amp;TCOS!L4&amp;""</f>
        <v>Balance @ December 31, 2025</v>
      </c>
      <c r="F10" s="107"/>
      <c r="G10" s="1241" t="str">
        <f>"Balance @ December 31, "&amp;TCOS!L4-1&amp;""</f>
        <v>Balance @ December 31, 2024</v>
      </c>
      <c r="H10" s="107"/>
      <c r="I10" s="1244" t="str">
        <f>"Average Balance for "&amp;TCOS!L4&amp;""</f>
        <v>Average Balance for 2025</v>
      </c>
      <c r="J10"/>
      <c r="K10"/>
      <c r="L10"/>
      <c r="M10"/>
      <c r="N10"/>
      <c r="O10"/>
    </row>
    <row r="11" spans="1:15">
      <c r="A11" s="9" t="s">
        <v>106</v>
      </c>
      <c r="B11" s="8"/>
      <c r="C11" s="9" t="s">
        <v>167</v>
      </c>
      <c r="D11" s="9" t="s">
        <v>206</v>
      </c>
      <c r="E11" s="1242"/>
      <c r="F11" s="68"/>
      <c r="G11" s="1242"/>
      <c r="H11" s="184"/>
      <c r="I11" s="1242"/>
      <c r="J11"/>
      <c r="K11"/>
      <c r="L11"/>
      <c r="M11"/>
      <c r="N11"/>
      <c r="O11"/>
    </row>
    <row r="12" spans="1:15">
      <c r="A12" s="73"/>
      <c r="C12" s="22"/>
      <c r="D12" s="22"/>
      <c r="G12" s="195"/>
    </row>
    <row r="13" spans="1:15">
      <c r="A13" s="73"/>
      <c r="C13" s="22"/>
      <c r="D13" s="22"/>
    </row>
    <row r="14" spans="1:15">
      <c r="A14" s="73"/>
      <c r="C14" s="22"/>
      <c r="D14" s="22"/>
    </row>
    <row r="15" spans="1:15" ht="15.75">
      <c r="A15" s="73">
        <v>1</v>
      </c>
      <c r="C15" s="41" t="s">
        <v>509</v>
      </c>
      <c r="D15" s="41"/>
    </row>
    <row r="16" spans="1:15" ht="15.75">
      <c r="A16" s="73"/>
      <c r="C16" s="41"/>
      <c r="D16" s="41"/>
      <c r="H16"/>
    </row>
    <row r="17" spans="1:17">
      <c r="A17" s="73">
        <f>+A15+1</f>
        <v>2</v>
      </c>
      <c r="C17" s="49" t="s">
        <v>515</v>
      </c>
      <c r="D17" s="67" t="s">
        <v>517</v>
      </c>
      <c r="E17" s="616">
        <f>SUM('WS B-1 - Actual Stmt. AF'!Q23:S23)</f>
        <v>0</v>
      </c>
      <c r="G17" s="654">
        <f>SUM('WS B-1 - Actual Stmt. AF'!M23:O23)</f>
        <v>0</v>
      </c>
      <c r="H17"/>
      <c r="I17" s="104">
        <f>IF(G17="",0,(E17+G17)/2)</f>
        <v>0</v>
      </c>
    </row>
    <row r="18" spans="1:17">
      <c r="A18" s="73">
        <f>+A17+1</f>
        <v>3</v>
      </c>
      <c r="C18" s="49" t="s">
        <v>519</v>
      </c>
      <c r="D18" s="73" t="str">
        <f>"WS B-1 - Actual Stmt. AF Ln. " &amp;'WS B-1 - Actual Stmt. AF'!A24&amp;" (Note 1)"</f>
        <v>WS B-1 - Actual Stmt. AF Ln. 4 (Note 1)</v>
      </c>
      <c r="E18" s="616">
        <f>SUM('WS B-1 - Actual Stmt. AF'!Q24:S24)</f>
        <v>0</v>
      </c>
      <c r="G18" s="654">
        <f>SUM('WS B-1 - Actual Stmt. AF'!M24:O24)</f>
        <v>0</v>
      </c>
      <c r="H18"/>
      <c r="I18" s="104">
        <f>IF(G18="",0,(E18+G18)/2)</f>
        <v>0</v>
      </c>
    </row>
    <row r="19" spans="1:17" ht="15">
      <c r="A19" s="73">
        <f>+A18+1</f>
        <v>4</v>
      </c>
      <c r="C19" s="49" t="s">
        <v>520</v>
      </c>
      <c r="D19" s="73" t="str">
        <f>"WS B-1 - Actual Stmt. AF Ln. " &amp;'WS B-1 - Actual Stmt. AF'!A23&amp;" (Note 1)"</f>
        <v>WS B-1 - Actual Stmt. AF Ln. 3 (Note 1)</v>
      </c>
      <c r="E19" s="617">
        <f>SUM('WS B-1 - Actual Stmt. AF'!Q23,'WS B-1 - Actual Stmt. AF'!S23)-(SUM('WS B-1 - Actual Stmt. AF'!Q24,'WS B-1 - Actual Stmt. AF'!S24))</f>
        <v>0</v>
      </c>
      <c r="G19" s="655">
        <f>SUM('WS B-1 - Actual Stmt. AF'!M23,'WS B-1 - Actual Stmt. AF'!O23)-SUM('WS B-1 - Actual Stmt. AF'!M24,'WS B-1 - Actual Stmt. AF'!O24)</f>
        <v>0</v>
      </c>
      <c r="I19" s="171">
        <f>IF(G19="",0,(E19+G19)/2)</f>
        <v>0</v>
      </c>
    </row>
    <row r="20" spans="1:17">
      <c r="A20" s="73">
        <f>+A19+1</f>
        <v>5</v>
      </c>
      <c r="C20" s="49" t="s">
        <v>516</v>
      </c>
      <c r="D20" s="108" t="str">
        <f>"Ln "&amp;A17&amp;" - ln "&amp;A18&amp;" - ln "&amp;A19&amp;""</f>
        <v>Ln 2 - ln 3 - ln 4</v>
      </c>
      <c r="E20" s="16">
        <f>+E17-E18-E19</f>
        <v>0</v>
      </c>
      <c r="G20" s="16">
        <f>+G17-G18-G19</f>
        <v>0</v>
      </c>
      <c r="I20" s="104">
        <f>+I17-I18-I19</f>
        <v>0</v>
      </c>
    </row>
    <row r="21" spans="1:17">
      <c r="A21" s="73"/>
      <c r="C21" s="49"/>
      <c r="D21" s="108"/>
    </row>
    <row r="22" spans="1:17">
      <c r="A22" s="73"/>
      <c r="C22" s="49"/>
      <c r="D22" s="108"/>
      <c r="K22" s="16"/>
      <c r="L22" s="16"/>
      <c r="M22" s="16"/>
      <c r="N22" s="16"/>
      <c r="O22" s="16"/>
    </row>
    <row r="23" spans="1:17" ht="15.75">
      <c r="A23" s="73">
        <f>+A20+1</f>
        <v>6</v>
      </c>
      <c r="C23" s="41" t="s">
        <v>510</v>
      </c>
      <c r="D23" s="108"/>
      <c r="K23" s="16"/>
      <c r="L23" s="16"/>
      <c r="M23" s="16"/>
      <c r="N23" s="16"/>
      <c r="O23" s="16"/>
    </row>
    <row r="24" spans="1:17">
      <c r="A24" s="73"/>
      <c r="C24" s="49"/>
      <c r="D24" s="108"/>
      <c r="K24" s="16"/>
      <c r="L24" s="16"/>
      <c r="M24" s="16"/>
      <c r="N24" s="16"/>
      <c r="O24" s="16"/>
    </row>
    <row r="25" spans="1:17">
      <c r="A25" s="73">
        <f>+A23+1</f>
        <v>7</v>
      </c>
      <c r="C25" s="49" t="s">
        <v>515</v>
      </c>
      <c r="D25" s="67" t="s">
        <v>449</v>
      </c>
      <c r="E25" s="654">
        <f>SUM('WS B-1 - Actual Stmt. AF'!Q56:S56)</f>
        <v>1536074691.5699999</v>
      </c>
      <c r="G25" s="654">
        <f>SUM('WS B-1 - Actual Stmt. AF'!M56:O56)</f>
        <v>1508628913.1399999</v>
      </c>
      <c r="H25"/>
      <c r="I25" s="104">
        <f>IF(G25="",0,(E25+G25)/2)</f>
        <v>1522351802.355</v>
      </c>
      <c r="K25" s="16"/>
      <c r="L25" s="16"/>
      <c r="M25" s="16"/>
      <c r="N25" s="16"/>
      <c r="O25" s="16"/>
    </row>
    <row r="26" spans="1:17">
      <c r="A26" s="73">
        <f>+A25+1</f>
        <v>8</v>
      </c>
      <c r="C26" s="49" t="s">
        <v>519</v>
      </c>
      <c r="D26" s="73" t="str">
        <f>"WS B-1 - Actual Stmt. AF Ln. " &amp;'WS B-1 - Actual Stmt. AF'!A57&amp;" (Note 1)"</f>
        <v>WS B-1 - Actual Stmt. AF Ln. 7 (Note 1)</v>
      </c>
      <c r="E26" s="654">
        <f>SUM('WS B-1 - Actual Stmt. AF'!Q57:S57)</f>
        <v>131366.07</v>
      </c>
      <c r="G26" s="654">
        <f>SUM('WS B-1 - Actual Stmt. AF'!M57:O57)</f>
        <v>21525.989999999998</v>
      </c>
      <c r="H26"/>
      <c r="I26" s="104">
        <f>IF(G26="",0,(E26+G26)/2)</f>
        <v>76446.03</v>
      </c>
      <c r="K26" s="16"/>
      <c r="L26" s="16"/>
      <c r="M26" s="16"/>
      <c r="N26" s="16"/>
      <c r="O26" s="16"/>
    </row>
    <row r="27" spans="1:17" ht="15">
      <c r="A27" s="73">
        <f>+A26+1</f>
        <v>9</v>
      </c>
      <c r="C27" s="49" t="s">
        <v>520</v>
      </c>
      <c r="D27" s="73" t="str">
        <f>"WS B-1 - Actual Stmt. AF Ln. " &amp;'WS B-1 - Actual Stmt. AF'!A56&amp;" (Note 1)"</f>
        <v>WS B-1 - Actual Stmt. AF Ln. 6 (Note 1)</v>
      </c>
      <c r="E27" s="655">
        <f>('WS B-1 - Actual Stmt. AF'!Q56+'WS B-1 - Actual Stmt. AF'!S56)-('WS B-1 - Actual Stmt. AF'!Q57+'WS B-1 - Actual Stmt. AF'!S57)</f>
        <v>1040370499.85</v>
      </c>
      <c r="G27" s="655">
        <f>('WS B-1 - Actual Stmt. AF'!M56+'WS B-1 - Actual Stmt. AF'!O56)-('WS B-1 - Actual Stmt. AF'!M57+'WS B-1 - Actual Stmt. AF'!O57)</f>
        <v>1029685178.67</v>
      </c>
      <c r="I27" s="171">
        <f>IF(G27="",0,(E27+G27)/2)</f>
        <v>1035027839.26</v>
      </c>
      <c r="K27" s="16"/>
      <c r="L27" s="16"/>
      <c r="M27" s="16"/>
      <c r="N27" s="16"/>
      <c r="O27" s="16"/>
    </row>
    <row r="28" spans="1:17">
      <c r="A28" s="73">
        <f>+A27+1</f>
        <v>10</v>
      </c>
      <c r="C28" s="49" t="s">
        <v>516</v>
      </c>
      <c r="D28" s="108" t="str">
        <f>"Ln "&amp;A25&amp;" - ln "&amp;A26&amp;" - ln "&amp;A27&amp;""</f>
        <v>Ln 7 - ln 8 - ln 9</v>
      </c>
      <c r="E28" s="16">
        <f>+E25-E26-E27</f>
        <v>495572825.64999998</v>
      </c>
      <c r="G28" s="16">
        <f>+G25-G26-G27</f>
        <v>478922208.4799999</v>
      </c>
      <c r="I28" s="104">
        <f>+I25-I26-I27</f>
        <v>487247517.06500006</v>
      </c>
      <c r="K28" s="16"/>
      <c r="L28" s="16"/>
      <c r="M28" s="16"/>
      <c r="N28" s="16"/>
      <c r="O28" s="16"/>
    </row>
    <row r="29" spans="1:17">
      <c r="A29" s="73"/>
      <c r="C29" s="49"/>
      <c r="D29" s="108"/>
      <c r="K29" s="16"/>
      <c r="L29" s="16"/>
      <c r="M29" s="16"/>
      <c r="N29" s="16"/>
      <c r="O29" s="16"/>
      <c r="P29" s="16"/>
      <c r="Q29" s="16"/>
    </row>
    <row r="30" spans="1:17">
      <c r="A30" s="73"/>
      <c r="C30" s="49"/>
      <c r="D30" s="108"/>
      <c r="E30" s="16"/>
      <c r="G30" s="16"/>
      <c r="K30" s="16"/>
      <c r="L30" s="16"/>
      <c r="M30" s="16"/>
      <c r="N30" s="16"/>
      <c r="O30" s="16"/>
      <c r="P30" s="16"/>
      <c r="Q30" s="16"/>
    </row>
    <row r="31" spans="1:17" ht="15.75">
      <c r="A31" s="73">
        <f>+A28+1</f>
        <v>11</v>
      </c>
      <c r="C31" s="41" t="s">
        <v>511</v>
      </c>
      <c r="D31" s="108"/>
      <c r="K31" s="16"/>
      <c r="L31" s="16"/>
      <c r="M31" s="16"/>
      <c r="N31" s="16"/>
      <c r="O31" s="16"/>
      <c r="P31" s="16"/>
      <c r="Q31" s="16"/>
    </row>
    <row r="32" spans="1:17" ht="15.75">
      <c r="A32" s="73"/>
      <c r="C32" s="41"/>
      <c r="D32" s="108"/>
      <c r="K32" s="16"/>
      <c r="L32" s="16"/>
      <c r="M32" s="16"/>
      <c r="N32" s="16"/>
      <c r="O32" s="16"/>
      <c r="P32" s="16"/>
      <c r="Q32" s="16"/>
    </row>
    <row r="33" spans="1:17">
      <c r="A33" s="73">
        <f>+A31+1</f>
        <v>12</v>
      </c>
      <c r="C33" s="49" t="s">
        <v>515</v>
      </c>
      <c r="D33" s="67" t="s">
        <v>518</v>
      </c>
      <c r="E33" s="654">
        <f>SUM('WS B-1 - Actual Stmt. AF'!Q128:S128)</f>
        <v>163834198.42999998</v>
      </c>
      <c r="G33" s="654">
        <f>SUM('WS B-1 - Actual Stmt. AF'!M128:O128)</f>
        <v>148260570.32999998</v>
      </c>
      <c r="H33"/>
      <c r="I33" s="104">
        <f>IF(G33="",0,(E33+G33)/2)</f>
        <v>156047384.38</v>
      </c>
      <c r="K33" s="16"/>
      <c r="L33" s="16"/>
      <c r="M33" s="16"/>
      <c r="N33" s="16"/>
      <c r="O33" s="16"/>
      <c r="P33" s="16"/>
      <c r="Q33" s="16"/>
    </row>
    <row r="34" spans="1:17">
      <c r="A34" s="73">
        <f>+A33+1</f>
        <v>13</v>
      </c>
      <c r="C34" s="49" t="s">
        <v>519</v>
      </c>
      <c r="D34" s="73" t="str">
        <f>"WS B-1 - Actual Stmt. AF Ln. " &amp;'WS B-1 - Actual Stmt. AF'!A129&amp;" (Note 1)"</f>
        <v>WS B-1 - Actual Stmt. AF Ln. 13 (Note 1)</v>
      </c>
      <c r="E34" s="654">
        <f>SUM('WS B-1 - Actual Stmt. AF'!Q129:S129)</f>
        <v>0</v>
      </c>
      <c r="G34" s="654">
        <f>SUM('WS B-1 - Actual Stmt. AF'!M129:O129)</f>
        <v>0</v>
      </c>
      <c r="H34"/>
      <c r="I34" s="104">
        <f>IF(G34="",0,(E34+G34)/2)</f>
        <v>0</v>
      </c>
      <c r="K34" s="785"/>
      <c r="L34" s="785"/>
      <c r="M34" s="785"/>
      <c r="N34" s="785"/>
      <c r="O34" s="785"/>
    </row>
    <row r="35" spans="1:17" ht="15">
      <c r="A35" s="73">
        <f>+A34+1</f>
        <v>14</v>
      </c>
      <c r="C35" s="49" t="s">
        <v>520</v>
      </c>
      <c r="D35" s="73" t="str">
        <f>"WS B-1 - Actual Stmt. AF Ln. " &amp;'WS B-1 - Actual Stmt. AF'!A128&amp;" (Note 1)"</f>
        <v>WS B-1 - Actual Stmt. AF Ln. 12 (Note 1)</v>
      </c>
      <c r="E35" s="655">
        <f>('WS B-1 - Actual Stmt. AF'!Q128+'WS B-1 - Actual Stmt. AF'!S128)-('WS B-1 - Actual Stmt. AF'!Q129+'WS B-1 - Actual Stmt. AF'!S129)</f>
        <v>132461277.83999997</v>
      </c>
      <c r="G35" s="655">
        <f>('WS B-1 - Actual Stmt. AF'!M128+'WS B-1 - Actual Stmt. AF'!O128)-('WS B-1 - Actual Stmt. AF'!M129+'WS B-1 - Actual Stmt. AF'!O129)</f>
        <v>116455287.41999999</v>
      </c>
      <c r="I35" s="171">
        <f>IF(G35="",0,(E35+G35)/2)</f>
        <v>124458282.62999998</v>
      </c>
    </row>
    <row r="36" spans="1:17">
      <c r="A36" s="73">
        <f>+A35+1</f>
        <v>15</v>
      </c>
      <c r="C36" s="49" t="s">
        <v>516</v>
      </c>
      <c r="D36" s="108" t="str">
        <f>"Ln "&amp;A33&amp;" - ln "&amp;A34&amp;" - ln "&amp;A35&amp;""</f>
        <v>Ln 12 - ln 13 - ln 14</v>
      </c>
      <c r="E36" s="16">
        <f>+E33-E34-E35</f>
        <v>31372920.590000004</v>
      </c>
      <c r="G36" s="16">
        <f>+G33-G34-G35</f>
        <v>31805282.909999996</v>
      </c>
      <c r="I36" s="104">
        <f>+I33-I34-I35</f>
        <v>31589101.750000015</v>
      </c>
    </row>
    <row r="37" spans="1:17" ht="15.75">
      <c r="A37" s="73"/>
      <c r="C37" s="41"/>
      <c r="D37" s="108"/>
      <c r="K37" s="16"/>
      <c r="L37" s="16"/>
      <c r="M37" s="16"/>
      <c r="N37" s="16"/>
      <c r="O37" s="16"/>
      <c r="P37" s="16"/>
    </row>
    <row r="38" spans="1:17">
      <c r="A38" s="73"/>
      <c r="C38" s="49"/>
      <c r="D38" s="108"/>
      <c r="K38" s="16"/>
      <c r="L38" s="16"/>
      <c r="M38" s="16"/>
      <c r="N38" s="16"/>
      <c r="O38" s="16"/>
      <c r="P38" s="16"/>
    </row>
    <row r="39" spans="1:17" ht="15.75">
      <c r="A39" s="73">
        <f>+A36+1</f>
        <v>16</v>
      </c>
      <c r="C39" s="41" t="s">
        <v>512</v>
      </c>
      <c r="D39" s="108"/>
      <c r="K39" s="16"/>
      <c r="L39" s="16"/>
      <c r="M39" s="16"/>
      <c r="N39" s="16"/>
      <c r="O39" s="16"/>
      <c r="P39" s="16"/>
    </row>
    <row r="40" spans="1:17">
      <c r="A40" s="73"/>
      <c r="C40" s="49"/>
      <c r="D40" s="108"/>
      <c r="K40" s="16"/>
      <c r="L40" s="16"/>
      <c r="M40" s="16"/>
      <c r="N40" s="16"/>
      <c r="O40" s="16"/>
      <c r="P40" s="16"/>
    </row>
    <row r="41" spans="1:17">
      <c r="A41" s="73">
        <f>+A39+1</f>
        <v>17</v>
      </c>
      <c r="C41" s="49" t="s">
        <v>515</v>
      </c>
      <c r="D41" s="67" t="s">
        <v>514</v>
      </c>
      <c r="E41" s="654">
        <f>SUM('WS B-2 - Actual Stmt. AG'!Q126:S126)-'WS B-2 - Actual Stmt. AG'!D112</f>
        <v>84255538.629999995</v>
      </c>
      <c r="G41" s="654">
        <f>SUM('WS B-2 - Actual Stmt. AG'!M126:O126)-'WS B-2 - Actual Stmt. AG'!C112</f>
        <v>87857527.580000013</v>
      </c>
      <c r="H41"/>
      <c r="I41" s="104">
        <f>IF(G41="",0,(E41+G41)/2)</f>
        <v>86056533.105000004</v>
      </c>
      <c r="K41" s="16"/>
      <c r="L41" s="16"/>
      <c r="M41" s="16"/>
      <c r="N41" s="16"/>
      <c r="O41" s="16"/>
    </row>
    <row r="42" spans="1:17">
      <c r="A42" s="73">
        <f>+A41+1</f>
        <v>18</v>
      </c>
      <c r="C42" s="49" t="s">
        <v>519</v>
      </c>
      <c r="D42" s="73" t="str">
        <f>"WS B-2 - Actual Stmt. AG Ln. " &amp;'WS B-2 - Actual Stmt. AG'!A127&amp;" (Note 1)"</f>
        <v>WS B-2 - Actual Stmt. AG Ln. 4 (Note 1)</v>
      </c>
      <c r="E42" s="654">
        <f>SUM('WS B-2 - Actual Stmt. AG'!Q127:S127)</f>
        <v>12390398.57</v>
      </c>
      <c r="G42" s="654">
        <f>SUM('WS B-2 - Actual Stmt. AG'!M127:O127)</f>
        <v>11693973.279999999</v>
      </c>
      <c r="H42"/>
      <c r="I42" s="104">
        <f>IF(G42="",0,(E42+G42)/2)</f>
        <v>12042185.925000001</v>
      </c>
      <c r="K42" s="16"/>
      <c r="L42" s="16"/>
      <c r="M42" s="16"/>
      <c r="N42" s="16"/>
      <c r="O42" s="16"/>
    </row>
    <row r="43" spans="1:17" ht="15">
      <c r="A43" s="73">
        <f>+A42+1</f>
        <v>19</v>
      </c>
      <c r="C43" s="49" t="s">
        <v>520</v>
      </c>
      <c r="D43" s="73" t="str">
        <f>"WS B-2 - Actual Stmt. AG Ln. " &amp;'WS B-2 - Actual Stmt. AG'!A126&amp;" (Note 1)"</f>
        <v>WS B-2 - Actual Stmt. AG Ln. 3 (Note 1)</v>
      </c>
      <c r="E43" s="655">
        <f>('WS B-2 - Actual Stmt. AG'!Q126+'WS B-2 - Actual Stmt. AG'!S126)-('WS B-2 - Actual Stmt. AG'!Q127+'WS B-2 - Actual Stmt. AG'!S127)-'WS B-2 - Actual Stmt. AG'!D112</f>
        <v>62916822.629999988</v>
      </c>
      <c r="G43" s="655">
        <f>SUM('WS B-2 - Actual Stmt. AG'!M126+'WS B-2 - Actual Stmt. AG'!O126)-('WS B-2 - Actual Stmt. AG'!M127+'WS B-2 - Actual Stmt. AG'!O127)-'WS B-2 - Actual Stmt. AG'!C112</f>
        <v>62358760.030000016</v>
      </c>
      <c r="I43" s="171">
        <f>IF(G43="",0,(E43+G43)/2)</f>
        <v>62637791.329999998</v>
      </c>
      <c r="K43" s="16"/>
      <c r="L43" s="16"/>
      <c r="M43" s="16"/>
      <c r="N43" s="16"/>
      <c r="O43" s="16"/>
    </row>
    <row r="44" spans="1:17">
      <c r="A44" s="73">
        <f>+A43+1</f>
        <v>20</v>
      </c>
      <c r="C44" s="49" t="s">
        <v>516</v>
      </c>
      <c r="D44" s="108" t="str">
        <f>"Ln "&amp;A41&amp;" - ln "&amp;A42&amp;" - ln "&amp;A43&amp;""</f>
        <v>Ln 17 - ln 18 - ln 19</v>
      </c>
      <c r="E44" s="16">
        <f>+E41-E42-E43</f>
        <v>8948317.4300000146</v>
      </c>
      <c r="G44" s="16">
        <f>+G41-G42-G43</f>
        <v>13804794.269999996</v>
      </c>
      <c r="I44" s="104">
        <f>+I41-I42-I43</f>
        <v>11376555.850000009</v>
      </c>
    </row>
    <row r="45" spans="1:17">
      <c r="A45" s="73"/>
      <c r="C45" s="49"/>
      <c r="D45" s="108"/>
    </row>
    <row r="46" spans="1:17">
      <c r="A46" s="73"/>
      <c r="C46" s="49"/>
      <c r="D46" s="108"/>
    </row>
    <row r="47" spans="1:17" ht="15.75">
      <c r="A47" s="73">
        <f>+A44+1</f>
        <v>21</v>
      </c>
      <c r="C47" s="41" t="s">
        <v>513</v>
      </c>
      <c r="D47" s="108"/>
    </row>
    <row r="48" spans="1:17">
      <c r="A48" s="73"/>
      <c r="C48" s="49"/>
      <c r="D48" s="108"/>
      <c r="K48" s="16"/>
      <c r="L48" s="16"/>
      <c r="M48" s="16"/>
      <c r="N48" s="16"/>
      <c r="O48" s="16"/>
    </row>
    <row r="49" spans="1:15">
      <c r="A49" s="73">
        <f>+A47+1</f>
        <v>22</v>
      </c>
      <c r="C49" s="49" t="s">
        <v>521</v>
      </c>
      <c r="D49" s="67" t="s">
        <v>470</v>
      </c>
      <c r="E49" s="616">
        <f>SUM('WS B-1 - Actual Stmt. AF'!Q142:S142)</f>
        <v>0</v>
      </c>
      <c r="G49" s="616">
        <f>SUM('WS B-1 - Actual Stmt. AF'!M142:O142)</f>
        <v>0</v>
      </c>
      <c r="H49"/>
      <c r="I49" s="104">
        <f>IF(G49="",0,(E49+G49)/2)</f>
        <v>0</v>
      </c>
      <c r="K49" s="16"/>
      <c r="L49" s="16"/>
      <c r="M49" s="16"/>
      <c r="N49" s="16"/>
      <c r="O49" s="16"/>
    </row>
    <row r="50" spans="1:15" ht="15">
      <c r="A50" s="73">
        <f>+A49+1</f>
        <v>23</v>
      </c>
      <c r="C50" s="49" t="s">
        <v>522</v>
      </c>
      <c r="D50" s="73" t="s">
        <v>67</v>
      </c>
      <c r="E50" s="655">
        <v>0</v>
      </c>
      <c r="G50" s="655">
        <v>0</v>
      </c>
      <c r="H50"/>
      <c r="I50" s="171">
        <f>IF(G50="",0,(E50+G50)/2)</f>
        <v>0</v>
      </c>
      <c r="K50" s="16"/>
      <c r="L50" s="16"/>
      <c r="M50" s="16"/>
      <c r="N50" s="16"/>
      <c r="O50" s="16"/>
    </row>
    <row r="51" spans="1:15">
      <c r="A51" s="73">
        <f>+A50+1</f>
        <v>24</v>
      </c>
      <c r="C51" s="49" t="s">
        <v>388</v>
      </c>
      <c r="D51" s="108" t="str">
        <f>"Ln "&amp;A49&amp;" - ln "&amp;A50&amp;""</f>
        <v>Ln 22 - ln 23</v>
      </c>
      <c r="E51" s="16">
        <f>+E49-E50</f>
        <v>0</v>
      </c>
      <c r="G51" s="16">
        <f>+G49-G50</f>
        <v>0</v>
      </c>
      <c r="H51"/>
      <c r="I51" s="104">
        <f>+I49-I50</f>
        <v>0</v>
      </c>
      <c r="K51" s="16"/>
      <c r="L51" s="16"/>
      <c r="M51" s="16"/>
      <c r="N51" s="16"/>
      <c r="O51" s="16"/>
    </row>
    <row r="52" spans="1:15">
      <c r="A52" s="73">
        <f>+A51+1</f>
        <v>25</v>
      </c>
      <c r="C52" s="49" t="s">
        <v>516</v>
      </c>
      <c r="D52" s="73" t="str">
        <f>"WS B-1 - Actual Stmt. AF Ln. " &amp;'WS B-1 - Actual Stmt. AF'!A142&amp;" (Note 1)"</f>
        <v>WS B-1 - Actual Stmt. AF Ln. 20 (Note 1)</v>
      </c>
      <c r="E52" s="616">
        <f>'WS B-1 - Actual Stmt. AF'!R142</f>
        <v>0</v>
      </c>
      <c r="G52" s="616">
        <f>'WS B-1 - Actual Stmt. AF'!N142</f>
        <v>0</v>
      </c>
      <c r="H52"/>
      <c r="I52" s="104">
        <f>IF(G52="",0,(E52+G52)/2)</f>
        <v>0</v>
      </c>
      <c r="K52" s="16"/>
      <c r="L52" s="16"/>
      <c r="M52" s="16"/>
      <c r="N52" s="16"/>
      <c r="O52" s="16"/>
    </row>
    <row r="53" spans="1:15">
      <c r="A53" s="73"/>
      <c r="C53" s="49"/>
      <c r="D53" s="49"/>
      <c r="K53" s="16"/>
      <c r="L53" s="16"/>
      <c r="M53" s="16"/>
      <c r="N53" s="16"/>
      <c r="O53" s="16"/>
    </row>
    <row r="54" spans="1:15">
      <c r="A54" s="55" t="s">
        <v>68</v>
      </c>
      <c r="C54" s="1240" t="s">
        <v>809</v>
      </c>
      <c r="D54" s="1240"/>
      <c r="E54" s="1240"/>
      <c r="F54" s="1240"/>
      <c r="G54" s="1240"/>
      <c r="H54" s="1240"/>
      <c r="I54" s="1240"/>
    </row>
    <row r="55" spans="1:15">
      <c r="A55" s="55"/>
      <c r="C55" s="1240"/>
      <c r="D55" s="1240"/>
      <c r="E55" s="1240"/>
      <c r="F55" s="1240"/>
      <c r="G55" s="1240"/>
      <c r="H55" s="1240"/>
      <c r="I55" s="1240"/>
    </row>
    <row r="56" spans="1:15">
      <c r="A56" s="73"/>
      <c r="C56" s="49"/>
      <c r="D56" s="49"/>
    </row>
    <row r="57" spans="1:15">
      <c r="A57" s="73" t="s">
        <v>69</v>
      </c>
      <c r="B57" s="24" t="s">
        <v>70</v>
      </c>
      <c r="C57" s="49"/>
      <c r="D57" s="49"/>
    </row>
    <row r="58" spans="1:15">
      <c r="B58" s="4"/>
      <c r="C58" s="4"/>
      <c r="D58" s="4"/>
      <c r="E58" s="4"/>
      <c r="F58" s="4"/>
      <c r="G58" s="4"/>
      <c r="H58" s="4"/>
      <c r="I58" s="4"/>
      <c r="J58" s="4"/>
      <c r="K58" s="4"/>
    </row>
    <row r="59" spans="1:15">
      <c r="B59" s="4"/>
      <c r="C59" s="4"/>
      <c r="D59" s="4"/>
      <c r="E59" s="4"/>
      <c r="F59" s="4"/>
      <c r="G59" s="4"/>
      <c r="H59" s="4"/>
      <c r="I59" s="4"/>
      <c r="J59" s="4"/>
      <c r="K59" s="4"/>
      <c r="L59" s="4"/>
    </row>
    <row r="60" spans="1:15">
      <c r="B60" s="4"/>
      <c r="C60" s="4"/>
      <c r="D60" s="4"/>
      <c r="E60" s="4"/>
      <c r="F60" s="4"/>
      <c r="G60" s="4"/>
      <c r="H60" s="4"/>
      <c r="I60" s="4"/>
      <c r="J60" s="4"/>
      <c r="K60" s="4"/>
      <c r="L60" s="4"/>
    </row>
    <row r="61" spans="1:15">
      <c r="B61" s="4"/>
      <c r="C61" s="4"/>
      <c r="D61" s="4"/>
      <c r="E61" s="4"/>
      <c r="F61" s="4"/>
      <c r="G61" s="4"/>
      <c r="H61" s="4"/>
      <c r="I61" s="4"/>
      <c r="J61" s="4"/>
      <c r="K61" s="4"/>
      <c r="L61" s="4"/>
    </row>
    <row r="62" spans="1:15">
      <c r="B62" s="4"/>
      <c r="C62" s="4"/>
      <c r="D62" s="4"/>
      <c r="E62" s="4"/>
      <c r="F62" s="4"/>
      <c r="G62" s="4"/>
      <c r="H62" s="4"/>
      <c r="I62" s="4"/>
      <c r="J62" s="4"/>
      <c r="K62" s="4"/>
      <c r="L62" s="4"/>
    </row>
    <row r="63" spans="1:15">
      <c r="B63" s="4"/>
      <c r="C63" s="4"/>
      <c r="D63" s="4"/>
      <c r="E63" s="4"/>
      <c r="F63" s="4"/>
      <c r="G63" s="4"/>
      <c r="H63" s="4"/>
      <c r="I63" s="4"/>
      <c r="J63" s="4"/>
      <c r="K63" s="4"/>
      <c r="L63" s="4"/>
    </row>
    <row r="64" spans="1:15">
      <c r="B64" s="4"/>
      <c r="C64" s="4"/>
      <c r="D64" s="4"/>
      <c r="E64" s="4"/>
      <c r="F64" s="4"/>
      <c r="G64" s="4"/>
      <c r="H64" s="4"/>
      <c r="I64" s="4"/>
      <c r="J64" s="4"/>
      <c r="K64" s="4"/>
      <c r="L64" s="4"/>
    </row>
    <row r="65" spans="2:12">
      <c r="B65" s="4"/>
      <c r="C65" s="4"/>
      <c r="D65" s="4"/>
      <c r="E65" s="4"/>
      <c r="F65" s="4"/>
      <c r="G65" s="4"/>
      <c r="H65" s="4"/>
      <c r="I65" s="4"/>
      <c r="J65" s="4"/>
      <c r="K65" s="4"/>
      <c r="L65" s="4"/>
    </row>
    <row r="66" spans="2:12">
      <c r="B66" s="4"/>
      <c r="C66" s="4"/>
      <c r="D66" s="4"/>
      <c r="E66" s="4"/>
      <c r="F66" s="4"/>
      <c r="G66" s="4"/>
      <c r="H66" s="4"/>
      <c r="I66" s="4"/>
      <c r="J66" s="4"/>
      <c r="K66" s="4"/>
      <c r="L66" s="4"/>
    </row>
  </sheetData>
  <mergeCells count="8">
    <mergeCell ref="C54:I55"/>
    <mergeCell ref="A3:I3"/>
    <mergeCell ref="A4:I4"/>
    <mergeCell ref="A5:I5"/>
    <mergeCell ref="E10:E11"/>
    <mergeCell ref="A6:I6"/>
    <mergeCell ref="G10:G11"/>
    <mergeCell ref="I10:I11"/>
  </mergeCells>
  <phoneticPr fontId="0" type="noConversion"/>
  <pageMargins left="0.26" right="0.59" top="1" bottom="1" header="0.75" footer="0.5"/>
  <pageSetup scale="62" orientation="portrait" r:id="rId1"/>
  <headerFooter alignWithMargins="0">
    <oddHeader>&amp;R&amp;"Arial,Bold"Formula Rate
 &amp;A
Page &amp;P of &amp;N</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K57"/>
  <sheetViews>
    <sheetView tabSelected="1" view="pageBreakPreview" topLeftCell="A13" zoomScale="60" zoomScaleNormal="100" workbookViewId="0">
      <selection activeCell="D11" sqref="D11"/>
    </sheetView>
  </sheetViews>
  <sheetFormatPr defaultRowHeight="12.75"/>
  <cols>
    <col min="1" max="1" width="28.5703125" customWidth="1"/>
    <col min="4" max="4" width="27.5703125" customWidth="1"/>
    <col min="6" max="6" width="11.5703125" bestFit="1" customWidth="1"/>
    <col min="8" max="8" width="20.85546875" customWidth="1"/>
    <col min="9" max="9" width="16" customWidth="1"/>
    <col min="11" max="11" width="19.5703125" customWidth="1"/>
  </cols>
  <sheetData>
    <row r="1" spans="1:11" ht="15.75">
      <c r="A1" s="1329" t="s">
        <v>387</v>
      </c>
      <c r="B1" s="1329"/>
      <c r="C1" s="1329"/>
      <c r="D1" s="1329"/>
      <c r="E1" s="1329"/>
      <c r="F1" s="1329"/>
      <c r="G1" s="1329"/>
      <c r="H1" s="1329"/>
      <c r="I1" s="1329"/>
      <c r="J1" s="1329"/>
      <c r="K1" s="1329"/>
    </row>
    <row r="2" spans="1:11" ht="15.75">
      <c r="A2" s="1330" t="s">
        <v>567</v>
      </c>
      <c r="B2" s="1330"/>
      <c r="C2" s="1330"/>
      <c r="D2" s="1330"/>
      <c r="E2" s="1330"/>
      <c r="F2" s="1330"/>
      <c r="G2" s="1330"/>
      <c r="H2" s="1330"/>
      <c r="I2" s="1330"/>
      <c r="J2" s="1330"/>
      <c r="K2" s="1330"/>
    </row>
    <row r="3" spans="1:11" ht="15.75">
      <c r="A3" s="1330" t="s">
        <v>568</v>
      </c>
      <c r="B3" s="1330"/>
      <c r="C3" s="1330"/>
      <c r="D3" s="1330"/>
      <c r="E3" s="1330"/>
      <c r="F3" s="1330"/>
      <c r="G3" s="1330"/>
      <c r="H3" s="1330"/>
      <c r="I3" s="1330"/>
      <c r="J3" s="1330"/>
      <c r="K3" s="1330"/>
    </row>
    <row r="4" spans="1:11" ht="15.75">
      <c r="A4" s="2"/>
      <c r="B4" s="2"/>
      <c r="C4" s="2"/>
      <c r="D4" s="1330"/>
      <c r="E4" s="1330"/>
      <c r="F4" s="1330"/>
      <c r="G4" s="1330"/>
      <c r="H4" s="2"/>
      <c r="I4" s="2"/>
      <c r="J4" s="2"/>
      <c r="K4" s="2"/>
    </row>
    <row r="7" spans="1:11" ht="16.5" thickBot="1">
      <c r="A7" s="571"/>
      <c r="B7" s="572"/>
      <c r="C7" s="572"/>
      <c r="D7" s="572"/>
      <c r="E7" s="572"/>
      <c r="F7" s="572"/>
      <c r="G7" s="572"/>
      <c r="H7" s="572"/>
      <c r="I7" s="572"/>
      <c r="J7" s="572"/>
      <c r="K7" s="572"/>
    </row>
    <row r="8" spans="1:11" ht="47.25">
      <c r="A8" s="573" t="str">
        <f>"Reconciliation Revenue Requirement For Year 2018 Available May 25, 2019"</f>
        <v>Reconciliation Revenue Requirement For Year 2018 Available May 25, 2019</v>
      </c>
      <c r="B8" s="572"/>
      <c r="C8" s="572"/>
      <c r="D8" s="573" t="s">
        <v>1077</v>
      </c>
      <c r="E8" s="572"/>
      <c r="F8" s="572"/>
      <c r="G8" s="2"/>
      <c r="H8" s="573" t="s">
        <v>548</v>
      </c>
      <c r="I8" s="2"/>
      <c r="J8" s="2"/>
      <c r="K8" s="2"/>
    </row>
    <row r="9" spans="1:11" ht="15.75">
      <c r="A9" s="574" t="s">
        <v>114</v>
      </c>
      <c r="B9" s="572"/>
      <c r="C9" s="572"/>
      <c r="D9" s="574"/>
      <c r="E9" s="572"/>
      <c r="F9" s="572"/>
      <c r="G9" s="2"/>
      <c r="H9" s="575"/>
      <c r="I9" s="2"/>
      <c r="J9" s="2"/>
      <c r="K9" s="2"/>
    </row>
    <row r="10" spans="1:11" ht="16.5" thickBot="1">
      <c r="A10" s="651">
        <v>0</v>
      </c>
      <c r="B10" s="576" t="str">
        <f>"-"</f>
        <v>-</v>
      </c>
      <c r="C10" s="577"/>
      <c r="D10" s="651">
        <v>0</v>
      </c>
      <c r="E10" s="578"/>
      <c r="F10" s="579" t="str">
        <f>"="</f>
        <v>=</v>
      </c>
      <c r="G10" s="580"/>
      <c r="H10" s="581">
        <f>IF(A10=0,0,D10-A10)</f>
        <v>0</v>
      </c>
      <c r="I10" s="2"/>
      <c r="J10" s="2"/>
      <c r="K10" s="2"/>
    </row>
    <row r="11" spans="1:11" ht="15.75">
      <c r="A11" s="582"/>
      <c r="B11" s="583"/>
      <c r="C11" s="583"/>
      <c r="D11" s="582"/>
      <c r="E11" s="582"/>
      <c r="F11" s="583"/>
      <c r="G11" s="582"/>
      <c r="H11" s="2"/>
      <c r="I11" s="2"/>
      <c r="J11" s="2"/>
      <c r="K11" s="2"/>
    </row>
    <row r="12" spans="1:11" ht="16.5" thickBot="1">
      <c r="A12" s="584"/>
      <c r="B12" s="585"/>
      <c r="C12" s="585"/>
      <c r="D12" s="584"/>
      <c r="E12" s="584"/>
      <c r="F12" s="585"/>
      <c r="G12" s="584"/>
      <c r="H12" s="586"/>
      <c r="I12" s="586"/>
      <c r="J12" s="586"/>
      <c r="K12" s="586"/>
    </row>
    <row r="13" spans="1:11" ht="15.75">
      <c r="A13" s="587"/>
      <c r="B13" s="583"/>
      <c r="C13" s="583"/>
      <c r="D13" s="582"/>
      <c r="E13" s="582"/>
      <c r="F13" s="583"/>
      <c r="G13" s="582"/>
      <c r="H13" s="2"/>
      <c r="I13" s="2"/>
      <c r="J13" s="2"/>
      <c r="K13" s="2"/>
    </row>
    <row r="14" spans="1:11" ht="63">
      <c r="A14" s="588" t="s">
        <v>549</v>
      </c>
      <c r="B14" s="583"/>
      <c r="C14" s="583"/>
      <c r="D14" s="589" t="s">
        <v>550</v>
      </c>
      <c r="E14" s="582"/>
      <c r="F14" s="589" t="s">
        <v>551</v>
      </c>
      <c r="G14" s="590" t="s">
        <v>552</v>
      </c>
      <c r="H14" s="591" t="s">
        <v>553</v>
      </c>
      <c r="I14" s="589" t="s">
        <v>554</v>
      </c>
      <c r="J14" s="592"/>
      <c r="K14" s="589" t="s">
        <v>555</v>
      </c>
    </row>
    <row r="15" spans="1:11" ht="15.75">
      <c r="A15" s="588" t="s">
        <v>556</v>
      </c>
      <c r="B15" s="583"/>
      <c r="C15" s="583"/>
      <c r="D15" s="2"/>
      <c r="E15" s="593"/>
      <c r="F15" s="652">
        <f>'WSQ NSPR'!F15</f>
        <v>4.0949999999999997E-3</v>
      </c>
      <c r="H15" s="2"/>
      <c r="I15" s="2"/>
      <c r="J15" s="2"/>
      <c r="K15" s="2"/>
    </row>
    <row r="16" spans="1:11" ht="15.75">
      <c r="A16" s="588"/>
      <c r="B16" s="583"/>
      <c r="C16" s="583"/>
      <c r="D16" s="2"/>
      <c r="E16" s="593"/>
      <c r="F16" s="593"/>
      <c r="G16" s="582"/>
      <c r="H16" s="2"/>
      <c r="I16" s="2"/>
      <c r="J16" s="2"/>
      <c r="K16" s="2"/>
    </row>
    <row r="17" spans="1:11" ht="15.75">
      <c r="A17" s="588" t="s">
        <v>1078</v>
      </c>
      <c r="B17" s="583"/>
      <c r="C17" s="583"/>
      <c r="D17" s="2"/>
      <c r="E17" s="593"/>
      <c r="F17" s="593"/>
      <c r="G17" s="582"/>
      <c r="H17" s="2"/>
      <c r="I17" s="2"/>
      <c r="J17" s="2"/>
      <c r="K17" s="2"/>
    </row>
    <row r="18" spans="1:11" ht="15.75">
      <c r="A18" s="594" t="s">
        <v>114</v>
      </c>
      <c r="B18" s="583"/>
      <c r="C18" s="583"/>
      <c r="D18" s="583"/>
      <c r="E18" s="583"/>
      <c r="F18" s="583" t="s">
        <v>114</v>
      </c>
      <c r="G18" s="2"/>
      <c r="H18" s="2"/>
      <c r="I18" s="2"/>
      <c r="J18" s="2"/>
      <c r="K18" s="2"/>
    </row>
    <row r="19" spans="1:11" ht="15.75">
      <c r="A19" s="595"/>
      <c r="B19" s="583"/>
      <c r="C19" s="583"/>
      <c r="D19" s="583"/>
      <c r="E19" s="583"/>
      <c r="F19" s="2"/>
      <c r="G19" s="2"/>
      <c r="H19" s="590"/>
      <c r="I19" s="583"/>
      <c r="J19" s="583"/>
      <c r="K19" s="583"/>
    </row>
    <row r="20" spans="1:11" ht="15.75">
      <c r="A20" s="595" t="s">
        <v>557</v>
      </c>
      <c r="B20" s="583"/>
      <c r="C20" s="583"/>
      <c r="D20" s="583"/>
      <c r="E20" s="583"/>
      <c r="F20" s="2"/>
      <c r="G20" s="2"/>
      <c r="H20" s="590" t="s">
        <v>558</v>
      </c>
      <c r="I20" s="583"/>
      <c r="J20" s="583"/>
      <c r="K20" s="583"/>
    </row>
    <row r="21" spans="1:11" ht="15.75">
      <c r="A21" s="572" t="s">
        <v>185</v>
      </c>
      <c r="B21" s="572" t="str">
        <f>"Year 2018"</f>
        <v>Year 2018</v>
      </c>
      <c r="C21" s="572"/>
      <c r="D21" s="596">
        <f>H10/12</f>
        <v>0</v>
      </c>
      <c r="E21" s="596"/>
      <c r="F21" s="597">
        <f>+F15</f>
        <v>4.0949999999999997E-3</v>
      </c>
      <c r="G21" s="572">
        <v>12</v>
      </c>
      <c r="H21" s="596">
        <f>F21*D21*G21*-1</f>
        <v>0</v>
      </c>
      <c r="I21" s="596"/>
      <c r="J21" s="596"/>
      <c r="K21" s="596">
        <f>(-H21+D21)*-1</f>
        <v>0</v>
      </c>
    </row>
    <row r="22" spans="1:11" ht="15.75">
      <c r="A22" s="572" t="s">
        <v>559</v>
      </c>
      <c r="B22" s="572" t="str">
        <f>B21</f>
        <v>Year 2018</v>
      </c>
      <c r="C22" s="572"/>
      <c r="D22" s="596">
        <f>+D21</f>
        <v>0</v>
      </c>
      <c r="E22" s="596"/>
      <c r="F22" s="597">
        <f>+F21</f>
        <v>4.0949999999999997E-3</v>
      </c>
      <c r="G22" s="572">
        <f t="shared" ref="G22:G32" si="0">+G21-1</f>
        <v>11</v>
      </c>
      <c r="H22" s="596">
        <f t="shared" ref="H22:H32" si="1">F22*D22*G22*-1</f>
        <v>0</v>
      </c>
      <c r="I22" s="596"/>
      <c r="J22" s="596"/>
      <c r="K22" s="596">
        <f t="shared" ref="K22:K32" si="2">(-H22+D22)*-1</f>
        <v>0</v>
      </c>
    </row>
    <row r="23" spans="1:11" ht="15.75">
      <c r="A23" s="572" t="s">
        <v>186</v>
      </c>
      <c r="B23" s="572" t="str">
        <f t="shared" ref="B23:B32" si="3">B22</f>
        <v>Year 2018</v>
      </c>
      <c r="C23" s="572"/>
      <c r="D23" s="596">
        <f t="shared" ref="D23:D32" si="4">+D22</f>
        <v>0</v>
      </c>
      <c r="E23" s="596"/>
      <c r="F23" s="597">
        <f t="shared" ref="F23:F32" si="5">+F22</f>
        <v>4.0949999999999997E-3</v>
      </c>
      <c r="G23" s="572">
        <f t="shared" si="0"/>
        <v>10</v>
      </c>
      <c r="H23" s="596">
        <f t="shared" si="1"/>
        <v>0</v>
      </c>
      <c r="I23" s="596"/>
      <c r="J23" s="596"/>
      <c r="K23" s="596">
        <f t="shared" si="2"/>
        <v>0</v>
      </c>
    </row>
    <row r="24" spans="1:11" ht="15.75">
      <c r="A24" s="572" t="s">
        <v>187</v>
      </c>
      <c r="B24" s="572" t="str">
        <f t="shared" si="3"/>
        <v>Year 2018</v>
      </c>
      <c r="C24" s="572"/>
      <c r="D24" s="596">
        <f t="shared" si="4"/>
        <v>0</v>
      </c>
      <c r="E24" s="596"/>
      <c r="F24" s="597">
        <f t="shared" si="5"/>
        <v>4.0949999999999997E-3</v>
      </c>
      <c r="G24" s="572">
        <f t="shared" si="0"/>
        <v>9</v>
      </c>
      <c r="H24" s="596">
        <f t="shared" si="1"/>
        <v>0</v>
      </c>
      <c r="I24" s="596"/>
      <c r="J24" s="596"/>
      <c r="K24" s="596">
        <f t="shared" si="2"/>
        <v>0</v>
      </c>
    </row>
    <row r="25" spans="1:11" ht="15.75">
      <c r="A25" s="572" t="s">
        <v>188</v>
      </c>
      <c r="B25" s="572" t="str">
        <f t="shared" si="3"/>
        <v>Year 2018</v>
      </c>
      <c r="C25" s="572"/>
      <c r="D25" s="596">
        <f t="shared" si="4"/>
        <v>0</v>
      </c>
      <c r="E25" s="596"/>
      <c r="F25" s="597">
        <f t="shared" si="5"/>
        <v>4.0949999999999997E-3</v>
      </c>
      <c r="G25" s="572">
        <f t="shared" si="0"/>
        <v>8</v>
      </c>
      <c r="H25" s="596">
        <f t="shared" si="1"/>
        <v>0</v>
      </c>
      <c r="I25" s="596"/>
      <c r="J25" s="596"/>
      <c r="K25" s="596">
        <f t="shared" si="2"/>
        <v>0</v>
      </c>
    </row>
    <row r="26" spans="1:11" ht="15.75">
      <c r="A26" s="572" t="s">
        <v>382</v>
      </c>
      <c r="B26" s="572" t="str">
        <f t="shared" si="3"/>
        <v>Year 2018</v>
      </c>
      <c r="C26" s="572"/>
      <c r="D26" s="596">
        <f t="shared" si="4"/>
        <v>0</v>
      </c>
      <c r="E26" s="596"/>
      <c r="F26" s="597">
        <f t="shared" si="5"/>
        <v>4.0949999999999997E-3</v>
      </c>
      <c r="G26" s="572">
        <f t="shared" si="0"/>
        <v>7</v>
      </c>
      <c r="H26" s="596">
        <f t="shared" si="1"/>
        <v>0</v>
      </c>
      <c r="I26" s="596"/>
      <c r="J26" s="596"/>
      <c r="K26" s="596">
        <f t="shared" si="2"/>
        <v>0</v>
      </c>
    </row>
    <row r="27" spans="1:11" ht="15.75">
      <c r="A27" s="572" t="s">
        <v>189</v>
      </c>
      <c r="B27" s="572" t="str">
        <f t="shared" si="3"/>
        <v>Year 2018</v>
      </c>
      <c r="C27" s="572"/>
      <c r="D27" s="596">
        <f t="shared" si="4"/>
        <v>0</v>
      </c>
      <c r="E27" s="596"/>
      <c r="F27" s="597">
        <f t="shared" si="5"/>
        <v>4.0949999999999997E-3</v>
      </c>
      <c r="G27" s="572">
        <f t="shared" si="0"/>
        <v>6</v>
      </c>
      <c r="H27" s="596">
        <f t="shared" si="1"/>
        <v>0</v>
      </c>
      <c r="I27" s="596"/>
      <c r="J27" s="596"/>
      <c r="K27" s="596">
        <f t="shared" si="2"/>
        <v>0</v>
      </c>
    </row>
    <row r="28" spans="1:11" ht="15.75">
      <c r="A28" s="572" t="s">
        <v>190</v>
      </c>
      <c r="B28" s="572" t="str">
        <f t="shared" si="3"/>
        <v>Year 2018</v>
      </c>
      <c r="C28" s="572"/>
      <c r="D28" s="596">
        <f t="shared" si="4"/>
        <v>0</v>
      </c>
      <c r="E28" s="596"/>
      <c r="F28" s="597">
        <f t="shared" si="5"/>
        <v>4.0949999999999997E-3</v>
      </c>
      <c r="G28" s="572">
        <f t="shared" si="0"/>
        <v>5</v>
      </c>
      <c r="H28" s="596">
        <f t="shared" si="1"/>
        <v>0</v>
      </c>
      <c r="I28" s="596"/>
      <c r="J28" s="596"/>
      <c r="K28" s="596">
        <f t="shared" si="2"/>
        <v>0</v>
      </c>
    </row>
    <row r="29" spans="1:11" ht="15.75">
      <c r="A29" s="572" t="s">
        <v>192</v>
      </c>
      <c r="B29" s="572" t="str">
        <f t="shared" si="3"/>
        <v>Year 2018</v>
      </c>
      <c r="C29" s="572"/>
      <c r="D29" s="596">
        <f t="shared" si="4"/>
        <v>0</v>
      </c>
      <c r="E29" s="596"/>
      <c r="F29" s="597">
        <f t="shared" si="5"/>
        <v>4.0949999999999997E-3</v>
      </c>
      <c r="G29" s="572">
        <f t="shared" si="0"/>
        <v>4</v>
      </c>
      <c r="H29" s="596">
        <f t="shared" si="1"/>
        <v>0</v>
      </c>
      <c r="I29" s="596"/>
      <c r="J29" s="596"/>
      <c r="K29" s="596">
        <f t="shared" si="2"/>
        <v>0</v>
      </c>
    </row>
    <row r="30" spans="1:11" ht="15.75">
      <c r="A30" s="572" t="s">
        <v>560</v>
      </c>
      <c r="B30" s="572" t="str">
        <f t="shared" si="3"/>
        <v>Year 2018</v>
      </c>
      <c r="C30" s="572"/>
      <c r="D30" s="596">
        <f t="shared" si="4"/>
        <v>0</v>
      </c>
      <c r="E30" s="596"/>
      <c r="F30" s="597">
        <f t="shared" si="5"/>
        <v>4.0949999999999997E-3</v>
      </c>
      <c r="G30" s="572">
        <f t="shared" si="0"/>
        <v>3</v>
      </c>
      <c r="H30" s="596">
        <f t="shared" si="1"/>
        <v>0</v>
      </c>
      <c r="I30" s="596"/>
      <c r="J30" s="596"/>
      <c r="K30" s="596">
        <f t="shared" si="2"/>
        <v>0</v>
      </c>
    </row>
    <row r="31" spans="1:11" ht="15.75">
      <c r="A31" s="572" t="s">
        <v>561</v>
      </c>
      <c r="B31" s="572" t="str">
        <f t="shared" si="3"/>
        <v>Year 2018</v>
      </c>
      <c r="C31" s="572"/>
      <c r="D31" s="596">
        <f t="shared" si="4"/>
        <v>0</v>
      </c>
      <c r="E31" s="596"/>
      <c r="F31" s="597">
        <f t="shared" si="5"/>
        <v>4.0949999999999997E-3</v>
      </c>
      <c r="G31" s="572">
        <f t="shared" si="0"/>
        <v>2</v>
      </c>
      <c r="H31" s="596">
        <f t="shared" si="1"/>
        <v>0</v>
      </c>
      <c r="I31" s="596"/>
      <c r="J31" s="596"/>
      <c r="K31" s="596">
        <f t="shared" si="2"/>
        <v>0</v>
      </c>
    </row>
    <row r="32" spans="1:11" ht="15.75">
      <c r="A32" s="572" t="s">
        <v>191</v>
      </c>
      <c r="B32" s="572" t="str">
        <f t="shared" si="3"/>
        <v>Year 2018</v>
      </c>
      <c r="C32" s="572"/>
      <c r="D32" s="596">
        <f t="shared" si="4"/>
        <v>0</v>
      </c>
      <c r="E32" s="596"/>
      <c r="F32" s="597">
        <f t="shared" si="5"/>
        <v>4.0949999999999997E-3</v>
      </c>
      <c r="G32" s="572">
        <f t="shared" si="0"/>
        <v>1</v>
      </c>
      <c r="H32" s="598">
        <f t="shared" si="1"/>
        <v>0</v>
      </c>
      <c r="I32" s="596"/>
      <c r="J32" s="596"/>
      <c r="K32" s="596">
        <f t="shared" si="2"/>
        <v>0</v>
      </c>
    </row>
    <row r="33" spans="1:11" ht="15.75">
      <c r="A33" s="572"/>
      <c r="B33" s="572"/>
      <c r="C33" s="572"/>
      <c r="D33" s="596"/>
      <c r="E33" s="596"/>
      <c r="F33" s="597"/>
      <c r="G33" s="572"/>
      <c r="H33" s="596">
        <f>SUM(H21:H32)</f>
        <v>0</v>
      </c>
      <c r="I33" s="596"/>
      <c r="J33" s="596"/>
      <c r="K33" s="599">
        <f>SUM(K21:K32)</f>
        <v>0</v>
      </c>
    </row>
    <row r="34" spans="1:11" ht="15.75">
      <c r="A34" s="572"/>
      <c r="B34" s="572"/>
      <c r="C34" s="572"/>
      <c r="D34" s="596"/>
      <c r="E34" s="596"/>
      <c r="F34" s="597"/>
      <c r="G34" s="572"/>
      <c r="H34" s="596"/>
      <c r="I34" s="596" t="s">
        <v>114</v>
      </c>
      <c r="J34" s="596"/>
      <c r="K34" s="2"/>
    </row>
    <row r="35" spans="1:11" ht="15.75">
      <c r="A35" s="572"/>
      <c r="B35" s="572"/>
      <c r="C35" s="572"/>
      <c r="D35" s="582"/>
      <c r="E35" s="582"/>
      <c r="F35" s="597"/>
      <c r="G35" s="572"/>
      <c r="H35" s="600" t="s">
        <v>562</v>
      </c>
      <c r="I35" s="596"/>
      <c r="J35" s="596"/>
      <c r="K35" s="596"/>
    </row>
    <row r="36" spans="1:11" ht="15.75">
      <c r="A36" s="572" t="s">
        <v>563</v>
      </c>
      <c r="B36" s="572" t="str">
        <f>"Year 2019"</f>
        <v>Year 2019</v>
      </c>
      <c r="C36" s="572"/>
      <c r="D36" s="582">
        <f>K33</f>
        <v>0</v>
      </c>
      <c r="E36" s="582"/>
      <c r="F36" s="597">
        <f>+F32</f>
        <v>4.0949999999999997E-3</v>
      </c>
      <c r="G36" s="572">
        <v>12</v>
      </c>
      <c r="H36" s="596">
        <f>+G36*F36*D36</f>
        <v>0</v>
      </c>
      <c r="I36" s="596"/>
      <c r="J36" s="596"/>
      <c r="K36" s="599">
        <f>+D36+H36</f>
        <v>0</v>
      </c>
    </row>
    <row r="37" spans="1:11" ht="15.75">
      <c r="A37" s="572"/>
      <c r="B37" s="572"/>
      <c r="C37" s="572"/>
      <c r="D37" s="582"/>
      <c r="E37" s="582"/>
      <c r="F37" s="597"/>
      <c r="G37" s="572"/>
      <c r="H37" s="596"/>
      <c r="I37" s="596"/>
      <c r="J37" s="596"/>
      <c r="K37" s="596"/>
    </row>
    <row r="38" spans="1:11" ht="15.75">
      <c r="A38" s="601" t="s">
        <v>564</v>
      </c>
      <c r="B38" s="572"/>
      <c r="C38" s="572"/>
      <c r="D38" s="596"/>
      <c r="E38" s="596"/>
      <c r="F38" s="597"/>
      <c r="G38" s="572"/>
      <c r="H38" s="600" t="s">
        <v>558</v>
      </c>
      <c r="I38" s="596"/>
      <c r="J38" s="596"/>
      <c r="K38" s="596"/>
    </row>
    <row r="39" spans="1:11" ht="15.75">
      <c r="A39" s="572" t="s">
        <v>185</v>
      </c>
      <c r="B39" s="572" t="str">
        <f>"Year 2020"</f>
        <v>Year 2020</v>
      </c>
      <c r="C39" s="572"/>
      <c r="D39" s="602">
        <f>-K36</f>
        <v>0</v>
      </c>
      <c r="E39" s="582"/>
      <c r="F39" s="597">
        <f>+F32</f>
        <v>4.0949999999999997E-3</v>
      </c>
      <c r="G39" s="572"/>
      <c r="H39" s="596">
        <f xml:space="preserve"> -F39*D39</f>
        <v>0</v>
      </c>
      <c r="I39" s="596">
        <f>PMT(F39,12,K$36)</f>
        <v>0</v>
      </c>
      <c r="J39" s="596"/>
      <c r="K39" s="596">
        <f>(+D39+D39*F39-I39)*-1</f>
        <v>0</v>
      </c>
    </row>
    <row r="40" spans="1:11" ht="15.75">
      <c r="A40" s="572" t="s">
        <v>559</v>
      </c>
      <c r="B40" s="572" t="str">
        <f>+B39</f>
        <v>Year 2020</v>
      </c>
      <c r="C40" s="572"/>
      <c r="D40" s="582">
        <f>-K39</f>
        <v>0</v>
      </c>
      <c r="E40" s="582"/>
      <c r="F40" s="597">
        <f>+F39</f>
        <v>4.0949999999999997E-3</v>
      </c>
      <c r="G40" s="572"/>
      <c r="H40" s="596">
        <f xml:space="preserve"> -F40*D40</f>
        <v>0</v>
      </c>
      <c r="I40" s="596">
        <f>I39</f>
        <v>0</v>
      </c>
      <c r="J40" s="596"/>
      <c r="K40" s="596">
        <f t="shared" ref="K40:K50" si="6">(+D40+D40*F40-I40)*-1</f>
        <v>0</v>
      </c>
    </row>
    <row r="41" spans="1:11" ht="15.75">
      <c r="A41" s="572" t="s">
        <v>186</v>
      </c>
      <c r="B41" s="572" t="str">
        <f>+B40</f>
        <v>Year 2020</v>
      </c>
      <c r="C41" s="572"/>
      <c r="D41" s="582">
        <f t="shared" ref="D41:D50" si="7">-K40</f>
        <v>0</v>
      </c>
      <c r="E41" s="582"/>
      <c r="F41" s="597">
        <f t="shared" ref="F41:F50" si="8">+F40</f>
        <v>4.0949999999999997E-3</v>
      </c>
      <c r="G41" s="572"/>
      <c r="H41" s="596">
        <f t="shared" ref="H41:H50" si="9" xml:space="preserve"> -F41*D41</f>
        <v>0</v>
      </c>
      <c r="I41" s="596">
        <f t="shared" ref="I41:I50" si="10">I40</f>
        <v>0</v>
      </c>
      <c r="J41" s="596"/>
      <c r="K41" s="596">
        <f t="shared" si="6"/>
        <v>0</v>
      </c>
    </row>
    <row r="42" spans="1:11" ht="15.75">
      <c r="A42" s="572" t="s">
        <v>187</v>
      </c>
      <c r="B42" s="572" t="str">
        <f>+B41</f>
        <v>Year 2020</v>
      </c>
      <c r="C42" s="572"/>
      <c r="D42" s="582">
        <f t="shared" si="7"/>
        <v>0</v>
      </c>
      <c r="E42" s="582"/>
      <c r="F42" s="597">
        <f t="shared" si="8"/>
        <v>4.0949999999999997E-3</v>
      </c>
      <c r="G42" s="572"/>
      <c r="H42" s="596">
        <f t="shared" si="9"/>
        <v>0</v>
      </c>
      <c r="I42" s="596">
        <f t="shared" si="10"/>
        <v>0</v>
      </c>
      <c r="J42" s="596"/>
      <c r="K42" s="596">
        <f t="shared" si="6"/>
        <v>0</v>
      </c>
    </row>
    <row r="43" spans="1:11" ht="15.75">
      <c r="A43" s="572" t="s">
        <v>188</v>
      </c>
      <c r="B43" s="572" t="str">
        <f>+B42</f>
        <v>Year 2020</v>
      </c>
      <c r="C43" s="572"/>
      <c r="D43" s="582">
        <f t="shared" si="7"/>
        <v>0</v>
      </c>
      <c r="E43" s="582"/>
      <c r="F43" s="597">
        <f t="shared" si="8"/>
        <v>4.0949999999999997E-3</v>
      </c>
      <c r="G43" s="572"/>
      <c r="H43" s="596">
        <f t="shared" si="9"/>
        <v>0</v>
      </c>
      <c r="I43" s="596">
        <f>I42</f>
        <v>0</v>
      </c>
      <c r="J43" s="596"/>
      <c r="K43" s="596">
        <f t="shared" si="6"/>
        <v>0</v>
      </c>
    </row>
    <row r="44" spans="1:11" ht="15.75">
      <c r="A44" s="572" t="s">
        <v>382</v>
      </c>
      <c r="B44" s="572" t="str">
        <f>B43</f>
        <v>Year 2020</v>
      </c>
      <c r="C44" s="2"/>
      <c r="D44" s="582">
        <f t="shared" si="7"/>
        <v>0</v>
      </c>
      <c r="E44" s="582"/>
      <c r="F44" s="597">
        <f t="shared" si="8"/>
        <v>4.0949999999999997E-3</v>
      </c>
      <c r="G44" s="572"/>
      <c r="H44" s="596">
        <f t="shared" si="9"/>
        <v>0</v>
      </c>
      <c r="I44" s="596">
        <f t="shared" si="10"/>
        <v>0</v>
      </c>
      <c r="J44" s="596"/>
      <c r="K44" s="596">
        <f t="shared" si="6"/>
        <v>0</v>
      </c>
    </row>
    <row r="45" spans="1:11" ht="15.75">
      <c r="A45" s="572" t="s">
        <v>189</v>
      </c>
      <c r="B45" s="572" t="str">
        <f t="shared" ref="B45:B50" si="11">+B44</f>
        <v>Year 2020</v>
      </c>
      <c r="C45" s="572"/>
      <c r="D45" s="582">
        <f t="shared" si="7"/>
        <v>0</v>
      </c>
      <c r="E45" s="582"/>
      <c r="F45" s="597">
        <f t="shared" si="8"/>
        <v>4.0949999999999997E-3</v>
      </c>
      <c r="G45" s="572"/>
      <c r="H45" s="596">
        <f t="shared" si="9"/>
        <v>0</v>
      </c>
      <c r="I45" s="596">
        <f t="shared" si="10"/>
        <v>0</v>
      </c>
      <c r="J45" s="596"/>
      <c r="K45" s="596">
        <f t="shared" si="6"/>
        <v>0</v>
      </c>
    </row>
    <row r="46" spans="1:11" ht="15.75">
      <c r="A46" s="572" t="s">
        <v>190</v>
      </c>
      <c r="B46" s="572" t="str">
        <f t="shared" si="11"/>
        <v>Year 2020</v>
      </c>
      <c r="C46" s="572"/>
      <c r="D46" s="582">
        <f t="shared" si="7"/>
        <v>0</v>
      </c>
      <c r="E46" s="582"/>
      <c r="F46" s="597">
        <f t="shared" si="8"/>
        <v>4.0949999999999997E-3</v>
      </c>
      <c r="G46" s="572"/>
      <c r="H46" s="596">
        <f t="shared" si="9"/>
        <v>0</v>
      </c>
      <c r="I46" s="596">
        <f t="shared" si="10"/>
        <v>0</v>
      </c>
      <c r="J46" s="596"/>
      <c r="K46" s="596">
        <f t="shared" si="6"/>
        <v>0</v>
      </c>
    </row>
    <row r="47" spans="1:11" ht="15.75">
      <c r="A47" s="572" t="s">
        <v>192</v>
      </c>
      <c r="B47" s="572" t="str">
        <f t="shared" si="11"/>
        <v>Year 2020</v>
      </c>
      <c r="C47" s="572"/>
      <c r="D47" s="582">
        <f t="shared" si="7"/>
        <v>0</v>
      </c>
      <c r="E47" s="582"/>
      <c r="F47" s="597">
        <f t="shared" si="8"/>
        <v>4.0949999999999997E-3</v>
      </c>
      <c r="G47" s="572"/>
      <c r="H47" s="596">
        <f t="shared" si="9"/>
        <v>0</v>
      </c>
      <c r="I47" s="596">
        <f>I46</f>
        <v>0</v>
      </c>
      <c r="J47" s="596"/>
      <c r="K47" s="596">
        <f t="shared" si="6"/>
        <v>0</v>
      </c>
    </row>
    <row r="48" spans="1:11" ht="15.75">
      <c r="A48" s="572" t="s">
        <v>560</v>
      </c>
      <c r="B48" s="572" t="str">
        <f t="shared" si="11"/>
        <v>Year 2020</v>
      </c>
      <c r="C48" s="572"/>
      <c r="D48" s="582">
        <f t="shared" si="7"/>
        <v>0</v>
      </c>
      <c r="E48" s="582"/>
      <c r="F48" s="597">
        <f t="shared" si="8"/>
        <v>4.0949999999999997E-3</v>
      </c>
      <c r="G48" s="572"/>
      <c r="H48" s="596">
        <f t="shared" si="9"/>
        <v>0</v>
      </c>
      <c r="I48" s="596">
        <f t="shared" si="10"/>
        <v>0</v>
      </c>
      <c r="J48" s="596"/>
      <c r="K48" s="596">
        <f t="shared" si="6"/>
        <v>0</v>
      </c>
    </row>
    <row r="49" spans="1:11" ht="15.75">
      <c r="A49" s="572" t="s">
        <v>561</v>
      </c>
      <c r="B49" s="572" t="str">
        <f t="shared" si="11"/>
        <v>Year 2020</v>
      </c>
      <c r="C49" s="572"/>
      <c r="D49" s="582">
        <f t="shared" si="7"/>
        <v>0</v>
      </c>
      <c r="E49" s="582"/>
      <c r="F49" s="597">
        <f t="shared" si="8"/>
        <v>4.0949999999999997E-3</v>
      </c>
      <c r="G49" s="572"/>
      <c r="H49" s="596">
        <f t="shared" si="9"/>
        <v>0</v>
      </c>
      <c r="I49" s="596">
        <f t="shared" si="10"/>
        <v>0</v>
      </c>
      <c r="J49" s="596"/>
      <c r="K49" s="596">
        <f t="shared" si="6"/>
        <v>0</v>
      </c>
    </row>
    <row r="50" spans="1:11" ht="15.75">
      <c r="A50" s="572" t="s">
        <v>191</v>
      </c>
      <c r="B50" s="572" t="str">
        <f t="shared" si="11"/>
        <v>Year 2020</v>
      </c>
      <c r="C50" s="572"/>
      <c r="D50" s="582">
        <f t="shared" si="7"/>
        <v>0</v>
      </c>
      <c r="E50" s="582"/>
      <c r="F50" s="597">
        <f t="shared" si="8"/>
        <v>4.0949999999999997E-3</v>
      </c>
      <c r="G50" s="572"/>
      <c r="H50" s="598">
        <f t="shared" si="9"/>
        <v>0</v>
      </c>
      <c r="I50" s="596">
        <f t="shared" si="10"/>
        <v>0</v>
      </c>
      <c r="J50" s="596"/>
      <c r="K50" s="596">
        <f t="shared" si="6"/>
        <v>0</v>
      </c>
    </row>
    <row r="51" spans="1:11" ht="15.75">
      <c r="A51" s="572"/>
      <c r="B51" s="572"/>
      <c r="C51" s="572"/>
      <c r="D51" s="582"/>
      <c r="E51" s="582"/>
      <c r="F51" s="597"/>
      <c r="G51" s="572"/>
      <c r="H51" s="596">
        <f>SUM(H39:H50)</f>
        <v>0</v>
      </c>
      <c r="I51" s="596"/>
      <c r="J51" s="596"/>
      <c r="K51" s="596"/>
    </row>
    <row r="52" spans="1:11" ht="15">
      <c r="A52" s="2"/>
      <c r="B52" s="2"/>
      <c r="C52" s="2"/>
      <c r="D52" s="2"/>
      <c r="E52" s="2"/>
      <c r="F52" s="2"/>
      <c r="G52" s="2"/>
      <c r="H52" s="2"/>
      <c r="I52" s="603"/>
      <c r="J52" s="2"/>
      <c r="K52" s="2"/>
    </row>
    <row r="53" spans="1:11" ht="15.75">
      <c r="A53" s="572" t="s">
        <v>569</v>
      </c>
      <c r="B53" s="2"/>
      <c r="C53" s="2"/>
      <c r="D53" s="2"/>
      <c r="E53" s="2"/>
      <c r="F53" s="2"/>
      <c r="G53" s="2"/>
      <c r="H53" s="2"/>
      <c r="I53" s="604">
        <f>(SUM(I39:I50)*-1)</f>
        <v>0</v>
      </c>
      <c r="J53" s="2"/>
      <c r="K53" s="2"/>
    </row>
    <row r="54" spans="1:11" ht="15.75">
      <c r="A54" s="572" t="s">
        <v>565</v>
      </c>
      <c r="B54" s="2"/>
      <c r="C54" s="2"/>
      <c r="D54" s="2"/>
      <c r="E54" s="2"/>
      <c r="F54" s="2"/>
      <c r="G54" s="2"/>
      <c r="H54" s="2"/>
      <c r="I54" s="605">
        <f>+H10</f>
        <v>0</v>
      </c>
      <c r="J54" s="2"/>
      <c r="K54" s="2"/>
    </row>
    <row r="55" spans="1:11" ht="15.75">
      <c r="A55" s="572" t="s">
        <v>566</v>
      </c>
      <c r="B55" s="2"/>
      <c r="C55" s="2"/>
      <c r="D55" s="2"/>
      <c r="E55" s="2"/>
      <c r="F55" s="2"/>
      <c r="G55" s="2"/>
      <c r="H55" s="2"/>
      <c r="I55" s="604">
        <f>(I53+I54)</f>
        <v>0</v>
      </c>
      <c r="J55" s="2"/>
      <c r="K55" s="2"/>
    </row>
    <row r="57" spans="1:11" ht="81.75" customHeight="1">
      <c r="A57" s="1331" t="s">
        <v>570</v>
      </c>
      <c r="B57" s="1331"/>
      <c r="C57" s="1331"/>
      <c r="D57" s="1331"/>
      <c r="E57" s="137"/>
      <c r="F57" s="137"/>
      <c r="G57" s="137"/>
      <c r="H57" s="137"/>
      <c r="I57" s="137"/>
      <c r="J57" s="137"/>
      <c r="K57" s="137"/>
    </row>
  </sheetData>
  <mergeCells count="5">
    <mergeCell ref="A1:K1"/>
    <mergeCell ref="A2:K2"/>
    <mergeCell ref="A3:K3"/>
    <mergeCell ref="D4:G4"/>
    <mergeCell ref="A57:D57"/>
  </mergeCells>
  <pageMargins left="0.7" right="0.7" top="0.75" bottom="0.75" header="0.3" footer="0.3"/>
  <pageSetup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S142"/>
  <sheetViews>
    <sheetView tabSelected="1" view="pageBreakPreview" topLeftCell="A90" zoomScale="85" zoomScaleNormal="50" zoomScaleSheetLayoutView="85" workbookViewId="0">
      <selection activeCell="D11" sqref="D11"/>
    </sheetView>
  </sheetViews>
  <sheetFormatPr defaultRowHeight="12.75"/>
  <cols>
    <col min="1" max="1" width="7.5703125" style="1" bestFit="1" customWidth="1"/>
    <col min="2" max="2" width="57.5703125" bestFit="1" customWidth="1"/>
    <col min="3" max="4" width="14.85546875" customWidth="1"/>
    <col min="5" max="6" width="14.42578125" customWidth="1"/>
    <col min="7" max="7" width="15.42578125" bestFit="1" customWidth="1"/>
    <col min="8" max="8" width="3.5703125" customWidth="1"/>
    <col min="9" max="9" width="13.140625" bestFit="1" customWidth="1"/>
    <col min="10" max="10" width="15" bestFit="1" customWidth="1"/>
    <col min="11" max="11" width="13.5703125" bestFit="1" customWidth="1"/>
    <col min="12" max="12" width="3.5703125" customWidth="1"/>
    <col min="13" max="13" width="13.140625" bestFit="1" customWidth="1"/>
    <col min="14" max="14" width="15" bestFit="1" customWidth="1"/>
    <col min="15" max="15" width="13.5703125" bestFit="1" customWidth="1"/>
    <col min="16" max="16" width="3" customWidth="1"/>
    <col min="17" max="17" width="13.140625" bestFit="1" customWidth="1"/>
    <col min="18" max="18" width="15" bestFit="1" customWidth="1"/>
    <col min="19" max="19" width="13.5703125" bestFit="1" customWidth="1"/>
  </cols>
  <sheetData>
    <row r="1" spans="1:19">
      <c r="A1" s="779"/>
      <c r="B1" s="818" t="str">
        <f>TCOS!F9</f>
        <v>Ohio Power Company</v>
      </c>
      <c r="C1" s="765"/>
      <c r="D1" s="765"/>
      <c r="E1" s="765"/>
      <c r="F1" s="765"/>
      <c r="M1" s="765"/>
      <c r="N1" s="765"/>
      <c r="O1" s="765"/>
      <c r="P1" s="765"/>
      <c r="Q1" s="765"/>
      <c r="R1" s="765"/>
    </row>
    <row r="2" spans="1:19">
      <c r="A2" s="779"/>
      <c r="B2" s="170" t="s">
        <v>811</v>
      </c>
      <c r="C2" s="765"/>
      <c r="D2" s="765"/>
      <c r="E2" s="765"/>
      <c r="F2" s="765"/>
      <c r="M2" s="765"/>
      <c r="N2" s="765"/>
      <c r="O2" s="765"/>
      <c r="P2" s="765"/>
      <c r="Q2" s="765"/>
      <c r="R2" s="765"/>
    </row>
    <row r="3" spans="1:19">
      <c r="A3" s="779"/>
      <c r="B3" s="791" t="str">
        <f>"PERIOD ENDED DECEMBER 31, "&amp;TCOS!L4</f>
        <v>PERIOD ENDED DECEMBER 31, 2025</v>
      </c>
      <c r="C3" s="765"/>
      <c r="D3" s="765"/>
      <c r="E3" s="765"/>
      <c r="F3" s="765"/>
      <c r="G3" s="765"/>
      <c r="H3" s="765"/>
      <c r="I3" s="765"/>
      <c r="J3" s="765"/>
      <c r="K3" s="765"/>
      <c r="L3" s="765"/>
      <c r="M3" s="765"/>
      <c r="N3" s="765"/>
      <c r="O3" s="765"/>
      <c r="P3" s="765"/>
      <c r="Q3" s="765"/>
      <c r="R3" s="765"/>
      <c r="S3" s="765"/>
    </row>
    <row r="4" spans="1:19">
      <c r="A4" s="779"/>
      <c r="B4" s="765"/>
      <c r="C4" s="765"/>
      <c r="D4" s="765"/>
      <c r="E4" s="765"/>
      <c r="F4" s="765"/>
      <c r="G4" s="1" t="s">
        <v>690</v>
      </c>
      <c r="H4" s="1"/>
      <c r="I4" s="1"/>
      <c r="J4" s="1"/>
      <c r="K4" s="1"/>
      <c r="L4" s="1"/>
      <c r="M4" s="765"/>
      <c r="N4" s="765"/>
      <c r="O4" s="765"/>
      <c r="P4" s="765"/>
      <c r="Q4" s="765"/>
      <c r="R4" s="765"/>
      <c r="S4" s="765"/>
    </row>
    <row r="5" spans="1:19">
      <c r="A5" s="779"/>
      <c r="B5" s="765"/>
      <c r="C5" s="765"/>
      <c r="D5" s="765"/>
      <c r="E5" s="765"/>
      <c r="F5" s="765"/>
      <c r="G5" s="765"/>
      <c r="H5" s="765"/>
      <c r="I5" s="765"/>
      <c r="J5" s="765"/>
      <c r="K5" s="765"/>
      <c r="L5" s="765"/>
      <c r="M5" s="765"/>
      <c r="N5" s="765"/>
      <c r="O5" s="765"/>
      <c r="P5" s="765"/>
      <c r="Q5" s="765"/>
      <c r="R5" s="765"/>
      <c r="S5" s="765"/>
    </row>
    <row r="6" spans="1:19">
      <c r="A6" s="779"/>
      <c r="B6" s="765"/>
      <c r="C6" s="765"/>
      <c r="D6" s="765"/>
      <c r="E6" s="765"/>
      <c r="F6" s="765"/>
      <c r="G6" s="765"/>
      <c r="H6" s="765"/>
      <c r="I6" s="765"/>
      <c r="J6" s="765"/>
      <c r="K6" s="765"/>
      <c r="L6" s="765"/>
      <c r="M6" s="765"/>
      <c r="N6" s="765"/>
      <c r="O6" s="765"/>
      <c r="P6" s="765"/>
      <c r="Q6" s="765"/>
      <c r="R6" s="765"/>
      <c r="S6" s="765"/>
    </row>
    <row r="7" spans="1:19">
      <c r="A7" s="779"/>
      <c r="B7" s="765"/>
      <c r="C7" s="765"/>
      <c r="D7" s="765"/>
      <c r="E7" s="765"/>
      <c r="F7" s="765"/>
      <c r="G7" s="765"/>
      <c r="H7" s="765"/>
      <c r="I7" s="765"/>
      <c r="J7" s="765"/>
      <c r="K7" s="765"/>
      <c r="L7" s="765"/>
      <c r="M7" s="765"/>
      <c r="N7" s="765"/>
      <c r="O7" s="765"/>
      <c r="P7" s="765"/>
      <c r="Q7" s="765"/>
      <c r="R7" s="765"/>
      <c r="S7" s="765"/>
    </row>
    <row r="8" spans="1:19">
      <c r="A8" s="779"/>
      <c r="B8" s="766" t="s">
        <v>691</v>
      </c>
      <c r="C8" s="766" t="s">
        <v>692</v>
      </c>
      <c r="D8" s="766" t="s">
        <v>693</v>
      </c>
      <c r="E8" s="766" t="s">
        <v>694</v>
      </c>
      <c r="F8" s="766" t="s">
        <v>695</v>
      </c>
      <c r="G8" s="766" t="s">
        <v>696</v>
      </c>
      <c r="H8" s="766"/>
      <c r="I8" s="766" t="s">
        <v>697</v>
      </c>
      <c r="J8" s="766" t="s">
        <v>698</v>
      </c>
      <c r="K8" s="766" t="s">
        <v>699</v>
      </c>
      <c r="L8" s="766"/>
      <c r="M8" s="766" t="s">
        <v>700</v>
      </c>
      <c r="N8" s="766" t="s">
        <v>701</v>
      </c>
      <c r="O8" s="766" t="s">
        <v>702</v>
      </c>
      <c r="P8" s="765"/>
      <c r="Q8" s="766" t="s">
        <v>703</v>
      </c>
      <c r="R8" s="766" t="s">
        <v>704</v>
      </c>
      <c r="S8" s="766" t="s">
        <v>705</v>
      </c>
    </row>
    <row r="9" spans="1:19">
      <c r="A9" s="779"/>
      <c r="B9" s="765"/>
      <c r="C9" s="765"/>
      <c r="D9" s="765"/>
      <c r="E9" s="765"/>
      <c r="F9" s="765"/>
      <c r="G9" s="765"/>
      <c r="H9" s="765"/>
      <c r="I9" s="765"/>
      <c r="J9" s="765"/>
      <c r="K9" s="765"/>
      <c r="L9" s="765"/>
      <c r="M9" s="765"/>
      <c r="N9" s="765"/>
      <c r="O9" s="765"/>
      <c r="P9" s="765"/>
      <c r="Q9" s="765"/>
      <c r="R9" s="765"/>
      <c r="S9" s="765"/>
    </row>
    <row r="10" spans="1:19">
      <c r="A10" s="779"/>
      <c r="B10" s="765"/>
      <c r="C10" s="767" t="s">
        <v>706</v>
      </c>
      <c r="D10" s="767"/>
      <c r="E10" s="768" t="s">
        <v>707</v>
      </c>
      <c r="F10" s="767"/>
      <c r="G10" s="1" t="s">
        <v>708</v>
      </c>
      <c r="H10" s="1"/>
      <c r="I10" s="767" t="s">
        <v>709</v>
      </c>
      <c r="J10" s="767"/>
      <c r="K10" s="767"/>
      <c r="L10" s="1"/>
      <c r="M10" s="767" t="str">
        <f>"FUNCTIONALIZATION 12/31/"&amp;TCOS!L4-1</f>
        <v>FUNCTIONALIZATION 12/31/2024</v>
      </c>
      <c r="N10" s="767"/>
      <c r="O10" s="767"/>
      <c r="P10" s="765"/>
      <c r="Q10" s="767" t="str">
        <f>"FUNCTIONALIZATION 12/31/"&amp;TCOS!L4</f>
        <v>FUNCTIONALIZATION 12/31/2025</v>
      </c>
      <c r="R10" s="767"/>
      <c r="S10" s="767"/>
    </row>
    <row r="11" spans="1:19">
      <c r="A11" s="779"/>
      <c r="B11" s="765"/>
      <c r="C11" s="770"/>
      <c r="D11" s="770"/>
      <c r="E11" s="765"/>
      <c r="F11" s="765"/>
      <c r="G11" s="1" t="s">
        <v>710</v>
      </c>
      <c r="H11" s="1"/>
      <c r="I11" s="770"/>
      <c r="J11" s="770"/>
      <c r="K11" s="770"/>
      <c r="L11" s="1"/>
      <c r="M11" s="770"/>
      <c r="N11" s="770"/>
      <c r="O11" s="770"/>
      <c r="P11" s="765"/>
      <c r="Q11" s="770"/>
      <c r="R11" s="770"/>
      <c r="S11" s="770"/>
    </row>
    <row r="12" spans="1:19">
      <c r="A12" s="779"/>
      <c r="B12" s="765"/>
      <c r="C12" s="1" t="s">
        <v>711</v>
      </c>
      <c r="D12" s="1" t="s">
        <v>711</v>
      </c>
      <c r="E12" s="1" t="s">
        <v>711</v>
      </c>
      <c r="F12" s="1" t="s">
        <v>711</v>
      </c>
      <c r="G12" s="1" t="s">
        <v>712</v>
      </c>
      <c r="H12" s="1"/>
      <c r="I12" s="765"/>
      <c r="J12" s="765"/>
      <c r="K12" s="765"/>
      <c r="L12" s="1"/>
      <c r="M12" s="765"/>
      <c r="N12" s="765"/>
      <c r="O12" s="765"/>
      <c r="P12" s="765"/>
      <c r="Q12" s="765"/>
      <c r="R12" s="765"/>
      <c r="S12" s="765"/>
    </row>
    <row r="13" spans="1:19">
      <c r="A13" s="779"/>
      <c r="B13" s="766" t="s">
        <v>713</v>
      </c>
      <c r="C13" s="766" t="str">
        <f>"OF 12-31-"&amp;TCOS!L4-1</f>
        <v>OF 12-31-2024</v>
      </c>
      <c r="D13" s="766" t="str">
        <f>"OF 12-31-"&amp;TCOS!L4</f>
        <v>OF 12-31-2025</v>
      </c>
      <c r="E13" s="766" t="str">
        <f>"OF 12-31-"&amp;TCOS!L4-1</f>
        <v>OF 12-31-2024</v>
      </c>
      <c r="F13" s="766" t="str">
        <f>"OF 12-31-"&amp;TCOS!L4</f>
        <v>OF 12-31-2025</v>
      </c>
      <c r="G13" s="766" t="s">
        <v>714</v>
      </c>
      <c r="H13" s="766"/>
      <c r="I13" s="766" t="s">
        <v>715</v>
      </c>
      <c r="J13" s="766" t="s">
        <v>716</v>
      </c>
      <c r="K13" s="766" t="s">
        <v>717</v>
      </c>
      <c r="L13" s="766"/>
      <c r="M13" s="766" t="s">
        <v>715</v>
      </c>
      <c r="N13" s="766" t="s">
        <v>716</v>
      </c>
      <c r="O13" s="766" t="s">
        <v>717</v>
      </c>
      <c r="P13" s="765"/>
      <c r="Q13" s="766" t="s">
        <v>715</v>
      </c>
      <c r="R13" s="766" t="s">
        <v>716</v>
      </c>
      <c r="S13" s="766" t="s">
        <v>717</v>
      </c>
    </row>
    <row r="14" spans="1:19">
      <c r="A14" s="779"/>
      <c r="B14" s="765"/>
      <c r="C14" s="765"/>
      <c r="D14" s="765"/>
      <c r="E14" s="765"/>
      <c r="F14" s="765"/>
      <c r="G14" s="765"/>
      <c r="H14" s="765"/>
      <c r="I14" s="765"/>
      <c r="J14" s="765"/>
      <c r="K14" s="765"/>
      <c r="L14" s="765"/>
      <c r="M14" s="765"/>
      <c r="N14" s="765"/>
      <c r="O14" s="765"/>
      <c r="P14" s="765"/>
      <c r="Q14" s="765"/>
      <c r="R14" s="765"/>
      <c r="S14" s="765"/>
    </row>
    <row r="15" spans="1:19">
      <c r="A15" s="790">
        <v>1</v>
      </c>
      <c r="B15" s="616" t="s">
        <v>718</v>
      </c>
      <c r="C15" s="772"/>
      <c r="D15" s="772"/>
      <c r="E15" s="772"/>
      <c r="F15" s="773"/>
      <c r="G15" s="772"/>
      <c r="H15" s="772"/>
      <c r="I15" s="772"/>
      <c r="J15" s="772"/>
      <c r="K15" s="772"/>
      <c r="L15" s="772"/>
      <c r="M15" s="772"/>
      <c r="N15" s="772"/>
      <c r="O15" s="772"/>
      <c r="P15" s="772"/>
      <c r="Q15" s="772"/>
      <c r="R15" s="772"/>
      <c r="S15" s="772"/>
    </row>
    <row r="16" spans="1:19">
      <c r="A16" s="790">
        <v>2.0099999999999998</v>
      </c>
      <c r="B16" s="616"/>
      <c r="C16" s="772"/>
      <c r="D16" s="772"/>
      <c r="E16" s="772"/>
      <c r="F16" s="772"/>
      <c r="G16" s="772"/>
      <c r="H16" s="772"/>
      <c r="I16" s="772"/>
      <c r="J16" s="772"/>
      <c r="K16" s="772"/>
      <c r="L16" s="772"/>
      <c r="M16" s="772"/>
      <c r="N16" s="772"/>
      <c r="O16" s="772"/>
      <c r="P16" s="772"/>
      <c r="Q16" s="772"/>
      <c r="R16" s="772"/>
      <c r="S16" s="772"/>
    </row>
    <row r="17" spans="1:19">
      <c r="A17" s="790">
        <v>2.02</v>
      </c>
      <c r="B17" s="616"/>
      <c r="C17" s="772">
        <f>SUM(M17:O17)</f>
        <v>0</v>
      </c>
      <c r="D17" s="772">
        <f>SUM(Q17:S17)</f>
        <v>0</v>
      </c>
      <c r="E17" s="772"/>
      <c r="F17" s="772"/>
      <c r="G17" s="772">
        <f>ROUND(SUM(C17:F17)/2,0)</f>
        <v>0</v>
      </c>
      <c r="H17" s="772"/>
      <c r="I17" s="772">
        <f>(M17+Q17)/2</f>
        <v>0</v>
      </c>
      <c r="J17" s="772">
        <f>(N17+R17)/2</f>
        <v>0</v>
      </c>
      <c r="K17" s="772">
        <f>(O17+S17)/2</f>
        <v>0</v>
      </c>
      <c r="L17" s="772"/>
      <c r="M17" s="616"/>
      <c r="N17" s="616"/>
      <c r="O17" s="616"/>
      <c r="P17" s="772"/>
      <c r="Q17" s="616"/>
      <c r="R17" s="616"/>
      <c r="S17" s="616"/>
    </row>
    <row r="18" spans="1:19">
      <c r="A18" s="790">
        <v>2.0299999999999998</v>
      </c>
      <c r="B18" s="616"/>
      <c r="C18" s="772"/>
      <c r="D18" s="772"/>
      <c r="E18" s="772"/>
      <c r="F18" s="772"/>
      <c r="G18" s="772"/>
      <c r="H18" s="772"/>
      <c r="I18" s="772"/>
      <c r="J18" s="772"/>
      <c r="K18" s="772"/>
      <c r="L18" s="772"/>
      <c r="M18" s="772"/>
      <c r="N18" s="772"/>
      <c r="O18" s="772"/>
      <c r="P18" s="772"/>
      <c r="Q18" s="772"/>
      <c r="R18" s="772"/>
      <c r="S18" s="772"/>
    </row>
    <row r="19" spans="1:19">
      <c r="A19" s="790">
        <v>2.04</v>
      </c>
      <c r="B19" s="616"/>
      <c r="C19" s="772">
        <v>0</v>
      </c>
      <c r="D19" s="772">
        <v>0</v>
      </c>
      <c r="E19" s="772">
        <f t="shared" ref="E19:F21" si="0">-C19</f>
        <v>0</v>
      </c>
      <c r="F19" s="772">
        <f t="shared" si="0"/>
        <v>0</v>
      </c>
      <c r="G19" s="772">
        <f>ROUND(SUM(C19:F19)/2,0)</f>
        <v>0</v>
      </c>
      <c r="H19" s="772"/>
      <c r="I19" s="772"/>
      <c r="J19" s="772"/>
      <c r="K19" s="772"/>
      <c r="L19" s="772"/>
      <c r="M19" s="772"/>
      <c r="N19" s="772"/>
      <c r="O19" s="772"/>
      <c r="P19" s="772"/>
      <c r="Q19" s="772"/>
      <c r="R19" s="772"/>
      <c r="S19" s="772"/>
    </row>
    <row r="20" spans="1:19">
      <c r="A20" s="790">
        <v>2.0499999999999998</v>
      </c>
      <c r="B20" s="616"/>
      <c r="C20" s="772">
        <v>0</v>
      </c>
      <c r="D20" s="772">
        <v>0</v>
      </c>
      <c r="E20" s="772">
        <f t="shared" si="0"/>
        <v>0</v>
      </c>
      <c r="F20" s="772">
        <f t="shared" si="0"/>
        <v>0</v>
      </c>
      <c r="G20" s="772">
        <f>ROUND(SUM(C20:F20)/2,0)</f>
        <v>0</v>
      </c>
      <c r="H20" s="772"/>
      <c r="I20" s="772"/>
      <c r="J20" s="772"/>
      <c r="K20" s="772"/>
      <c r="L20" s="772"/>
      <c r="M20" s="772"/>
      <c r="N20" s="772"/>
      <c r="O20" s="772"/>
      <c r="P20" s="772"/>
      <c r="Q20" s="772"/>
      <c r="R20" s="772"/>
      <c r="S20" s="772"/>
    </row>
    <row r="21" spans="1:19">
      <c r="A21" s="790">
        <v>2.06</v>
      </c>
      <c r="B21" s="616"/>
      <c r="C21" s="772">
        <v>0</v>
      </c>
      <c r="D21" s="772">
        <v>0</v>
      </c>
      <c r="E21" s="772">
        <f t="shared" si="0"/>
        <v>0</v>
      </c>
      <c r="F21" s="772">
        <f t="shared" si="0"/>
        <v>0</v>
      </c>
      <c r="G21" s="772">
        <f>ROUND(SUM(C21:F21)/2,0)</f>
        <v>0</v>
      </c>
      <c r="H21" s="772"/>
      <c r="I21" s="772"/>
      <c r="J21" s="772"/>
      <c r="K21" s="772"/>
      <c r="L21" s="772"/>
      <c r="M21" s="772"/>
      <c r="N21" s="772"/>
      <c r="O21" s="772"/>
      <c r="P21" s="772"/>
      <c r="Q21" s="772"/>
      <c r="R21" s="772"/>
      <c r="S21" s="772"/>
    </row>
    <row r="22" spans="1:19">
      <c r="A22" s="786"/>
      <c r="B22" s="765"/>
      <c r="C22" s="772"/>
      <c r="D22" s="772"/>
      <c r="E22" s="772"/>
      <c r="F22" s="772"/>
      <c r="G22" s="772"/>
      <c r="H22" s="772"/>
      <c r="I22" s="772"/>
      <c r="J22" s="772"/>
      <c r="K22" s="772"/>
      <c r="L22" s="772"/>
      <c r="M22" s="772"/>
      <c r="N22" s="772"/>
      <c r="O22" s="772"/>
      <c r="P22" s="772"/>
      <c r="Q22" s="772"/>
      <c r="R22" s="772"/>
      <c r="S22" s="772"/>
    </row>
    <row r="23" spans="1:19" ht="13.5" thickBot="1">
      <c r="A23" s="780">
        <v>3</v>
      </c>
      <c r="B23" t="s">
        <v>719</v>
      </c>
      <c r="C23" s="775">
        <f>SUM(C17:C22)</f>
        <v>0</v>
      </c>
      <c r="D23" s="775">
        <f>SUM(D17:D22)</f>
        <v>0</v>
      </c>
      <c r="E23" s="775">
        <f>SUM(E17:E22)</f>
        <v>0</v>
      </c>
      <c r="F23" s="775">
        <f>SUM(F17:F22)</f>
        <v>0</v>
      </c>
      <c r="G23" s="775">
        <f>SUM(G17:G22)</f>
        <v>0</v>
      </c>
      <c r="H23" s="772"/>
      <c r="I23" s="775">
        <f>SUM(I17:I22)</f>
        <v>0</v>
      </c>
      <c r="J23" s="775">
        <f>SUM(J17:J22)</f>
        <v>0</v>
      </c>
      <c r="K23" s="775">
        <f>SUM(K17:K22)</f>
        <v>0</v>
      </c>
      <c r="L23" s="772"/>
      <c r="M23" s="775">
        <f>SUM(M17:M22)</f>
        <v>0</v>
      </c>
      <c r="N23" s="775">
        <f>SUM(N17:N22)</f>
        <v>0</v>
      </c>
      <c r="O23" s="775">
        <f>SUM(O17:O22)</f>
        <v>0</v>
      </c>
      <c r="P23" s="772"/>
      <c r="Q23" s="775">
        <f>SUM(Q17:Q22)</f>
        <v>0</v>
      </c>
      <c r="R23" s="775">
        <f>SUM(R17:R22)</f>
        <v>0</v>
      </c>
      <c r="S23" s="775">
        <f>SUM(S17:S22)</f>
        <v>0</v>
      </c>
    </row>
    <row r="24" spans="1:19" ht="13.5" thickTop="1">
      <c r="A24" s="780">
        <f>A23+1</f>
        <v>4</v>
      </c>
      <c r="B24" s="18" t="s">
        <v>737</v>
      </c>
      <c r="C24" s="783">
        <v>0</v>
      </c>
      <c r="D24" s="783">
        <v>0</v>
      </c>
      <c r="E24" s="783">
        <v>0</v>
      </c>
      <c r="F24" s="783">
        <v>0</v>
      </c>
      <c r="G24" s="783">
        <v>0</v>
      </c>
      <c r="H24" s="784"/>
      <c r="I24" s="783">
        <v>0</v>
      </c>
      <c r="J24" s="783">
        <v>0</v>
      </c>
      <c r="K24" s="783">
        <v>0</v>
      </c>
      <c r="L24" s="784"/>
      <c r="M24" s="783">
        <v>0</v>
      </c>
      <c r="N24" s="783">
        <v>0</v>
      </c>
      <c r="O24" s="783">
        <v>0</v>
      </c>
      <c r="P24" s="784"/>
      <c r="Q24" s="783">
        <v>0</v>
      </c>
      <c r="R24" s="783">
        <v>0</v>
      </c>
      <c r="S24" s="783">
        <v>0</v>
      </c>
    </row>
    <row r="25" spans="1:19">
      <c r="A25" s="780"/>
      <c r="B25" s="765"/>
      <c r="C25" s="772"/>
      <c r="D25" s="772"/>
      <c r="E25" s="772"/>
      <c r="F25" s="772"/>
      <c r="G25" s="772"/>
      <c r="H25" s="772"/>
      <c r="I25" s="772"/>
      <c r="J25" s="772"/>
      <c r="K25" s="772"/>
      <c r="L25" s="772"/>
      <c r="M25" s="772"/>
      <c r="N25" s="772"/>
      <c r="O25" s="772"/>
      <c r="P25" s="772"/>
      <c r="Q25" s="772"/>
      <c r="R25" s="772"/>
      <c r="S25" s="772"/>
    </row>
    <row r="26" spans="1:19">
      <c r="A26" s="780">
        <v>5</v>
      </c>
      <c r="B26" t="s">
        <v>720</v>
      </c>
      <c r="C26" s="772"/>
      <c r="D26" s="772"/>
      <c r="E26" s="772"/>
      <c r="F26" s="772"/>
      <c r="G26" s="772"/>
      <c r="H26" s="772"/>
      <c r="I26" s="772"/>
      <c r="J26" s="772"/>
      <c r="K26" s="772"/>
      <c r="L26" s="772"/>
      <c r="M26" s="772"/>
      <c r="N26" s="772"/>
      <c r="O26" s="772"/>
      <c r="P26" s="772"/>
      <c r="Q26" s="772"/>
      <c r="R26" s="772"/>
      <c r="S26" s="772"/>
    </row>
    <row r="27" spans="1:19">
      <c r="A27" s="787"/>
      <c r="B27" s="765"/>
      <c r="C27" s="772"/>
      <c r="D27" s="772"/>
      <c r="E27" s="772"/>
      <c r="F27" s="772"/>
      <c r="G27" s="772"/>
      <c r="H27" s="772"/>
      <c r="I27" s="772"/>
      <c r="J27" s="772"/>
      <c r="K27" s="772"/>
      <c r="L27" s="772"/>
      <c r="M27" s="772"/>
      <c r="N27" s="772"/>
      <c r="O27" s="772"/>
      <c r="P27" s="772"/>
      <c r="Q27" s="772"/>
      <c r="R27" s="772"/>
      <c r="S27" s="772"/>
    </row>
    <row r="28" spans="1:19">
      <c r="A28" s="790">
        <f>5+0.01</f>
        <v>5.01</v>
      </c>
      <c r="B28" s="616" t="s">
        <v>1290</v>
      </c>
      <c r="C28" s="772">
        <f t="shared" ref="C28:C48" si="1">SUM(M28:O28)</f>
        <v>22451142</v>
      </c>
      <c r="D28" s="772">
        <f t="shared" ref="D28:D48" si="2">SUM(Q28:S28)</f>
        <v>22451142</v>
      </c>
      <c r="E28" s="772"/>
      <c r="F28" s="772"/>
      <c r="G28" s="772">
        <f t="shared" ref="G28:G48" si="3">ROUND(SUM(C28:F28)/2,0)</f>
        <v>22451142</v>
      </c>
      <c r="H28" s="772"/>
      <c r="I28" s="772">
        <f t="shared" ref="I28:I48" si="4">(M28+Q28)/2</f>
        <v>0</v>
      </c>
      <c r="J28" s="772">
        <f t="shared" ref="J28:J48" si="5">(N28+R28)/2</f>
        <v>0</v>
      </c>
      <c r="K28" s="772">
        <f t="shared" ref="K28:K48" si="6">(O28+S28)/2</f>
        <v>22451142</v>
      </c>
      <c r="L28" s="772"/>
      <c r="M28" s="616"/>
      <c r="N28" s="616">
        <v>0</v>
      </c>
      <c r="O28" s="616">
        <v>22451142</v>
      </c>
      <c r="P28" s="772"/>
      <c r="Q28" s="616"/>
      <c r="R28" s="616"/>
      <c r="S28" s="616">
        <v>22451142</v>
      </c>
    </row>
    <row r="29" spans="1:19">
      <c r="A29" s="790">
        <f t="shared" ref="A29:A53" si="7">A28+0.01</f>
        <v>5.0199999999999996</v>
      </c>
      <c r="B29" s="616" t="s">
        <v>1291</v>
      </c>
      <c r="C29" s="772">
        <f t="shared" si="1"/>
        <v>241170814</v>
      </c>
      <c r="D29" s="772">
        <f t="shared" si="2"/>
        <v>235742171</v>
      </c>
      <c r="E29" s="772"/>
      <c r="F29" s="772"/>
      <c r="G29" s="772">
        <f t="shared" si="3"/>
        <v>238456493</v>
      </c>
      <c r="H29" s="772"/>
      <c r="I29" s="772">
        <f t="shared" si="4"/>
        <v>0</v>
      </c>
      <c r="J29" s="772">
        <f t="shared" si="5"/>
        <v>92595831.5</v>
      </c>
      <c r="K29" s="772">
        <f t="shared" si="6"/>
        <v>145860661</v>
      </c>
      <c r="L29" s="772"/>
      <c r="M29" s="616"/>
      <c r="N29" s="616">
        <v>93828919</v>
      </c>
      <c r="O29" s="616">
        <v>147341895</v>
      </c>
      <c r="P29" s="772"/>
      <c r="Q29" s="616"/>
      <c r="R29" s="616">
        <v>91362744</v>
      </c>
      <c r="S29" s="616">
        <v>144379427</v>
      </c>
    </row>
    <row r="30" spans="1:19">
      <c r="A30" s="790">
        <f t="shared" si="7"/>
        <v>5.0299999999999994</v>
      </c>
      <c r="B30" s="616" t="s">
        <v>1292</v>
      </c>
      <c r="C30" s="772">
        <f t="shared" si="1"/>
        <v>65741190</v>
      </c>
      <c r="D30" s="772">
        <f t="shared" si="2"/>
        <v>59869575</v>
      </c>
      <c r="E30" s="772"/>
      <c r="F30" s="772"/>
      <c r="G30" s="772">
        <f t="shared" si="3"/>
        <v>62805383</v>
      </c>
      <c r="H30" s="772"/>
      <c r="I30" s="772">
        <f t="shared" si="4"/>
        <v>0</v>
      </c>
      <c r="J30" s="772">
        <f t="shared" si="5"/>
        <v>13811229.5</v>
      </c>
      <c r="K30" s="772">
        <f t="shared" si="6"/>
        <v>48994153</v>
      </c>
      <c r="L30" s="772"/>
      <c r="M30" s="616"/>
      <c r="N30" s="616">
        <v>16573475</v>
      </c>
      <c r="O30" s="616">
        <v>49167715</v>
      </c>
      <c r="P30" s="772"/>
      <c r="Q30" s="616"/>
      <c r="R30" s="616">
        <v>11048984</v>
      </c>
      <c r="S30" s="616">
        <v>48820591</v>
      </c>
    </row>
    <row r="31" spans="1:19">
      <c r="A31" s="790">
        <f t="shared" si="7"/>
        <v>5.0399999999999991</v>
      </c>
      <c r="B31" s="616" t="s">
        <v>1207</v>
      </c>
      <c r="C31" s="772">
        <f t="shared" si="1"/>
        <v>25669326.66</v>
      </c>
      <c r="D31" s="772">
        <f t="shared" si="2"/>
        <v>28487913.990000002</v>
      </c>
      <c r="E31" s="772"/>
      <c r="F31" s="772"/>
      <c r="G31" s="772">
        <f t="shared" si="3"/>
        <v>27078620</v>
      </c>
      <c r="H31" s="772"/>
      <c r="I31" s="772">
        <f t="shared" si="4"/>
        <v>0</v>
      </c>
      <c r="J31" s="772">
        <f t="shared" si="5"/>
        <v>12516302.26</v>
      </c>
      <c r="K31" s="772">
        <f t="shared" si="6"/>
        <v>14562318.065000001</v>
      </c>
      <c r="L31" s="772"/>
      <c r="M31" s="616"/>
      <c r="N31" s="616">
        <v>11989498.699999999</v>
      </c>
      <c r="O31" s="616">
        <v>13679827.960000001</v>
      </c>
      <c r="P31" s="772"/>
      <c r="Q31" s="616"/>
      <c r="R31" s="616">
        <v>13043105.82</v>
      </c>
      <c r="S31" s="616">
        <v>15444808.17</v>
      </c>
    </row>
    <row r="32" spans="1:19">
      <c r="A32" s="790">
        <f t="shared" si="7"/>
        <v>5.0499999999999989</v>
      </c>
      <c r="B32" s="616" t="s">
        <v>1208</v>
      </c>
      <c r="C32" s="777">
        <f t="shared" si="1"/>
        <v>21525.989999999998</v>
      </c>
      <c r="D32" s="777">
        <f t="shared" si="2"/>
        <v>131366.07</v>
      </c>
      <c r="E32" s="777"/>
      <c r="F32" s="777"/>
      <c r="G32" s="777">
        <f t="shared" si="3"/>
        <v>76446</v>
      </c>
      <c r="H32" s="777"/>
      <c r="I32" s="777">
        <f t="shared" si="4"/>
        <v>0</v>
      </c>
      <c r="J32" s="777">
        <f t="shared" si="5"/>
        <v>130.125</v>
      </c>
      <c r="K32" s="777">
        <f t="shared" si="6"/>
        <v>76315.904999999999</v>
      </c>
      <c r="L32" s="777"/>
      <c r="M32" s="616"/>
      <c r="N32" s="616">
        <v>-537.15</v>
      </c>
      <c r="O32" s="616">
        <v>22063.14</v>
      </c>
      <c r="P32" s="777"/>
      <c r="Q32" s="616"/>
      <c r="R32" s="616">
        <v>797.4</v>
      </c>
      <c r="S32" s="616">
        <v>130568.67</v>
      </c>
    </row>
    <row r="33" spans="1:19">
      <c r="A33" s="790">
        <f t="shared" si="7"/>
        <v>5.0599999999999987</v>
      </c>
      <c r="B33" s="616" t="s">
        <v>1209</v>
      </c>
      <c r="C33" s="772">
        <f t="shared" si="1"/>
        <v>30511074.150000002</v>
      </c>
      <c r="D33" s="772">
        <f t="shared" si="2"/>
        <v>30511074.150000002</v>
      </c>
      <c r="E33" s="772"/>
      <c r="F33" s="772"/>
      <c r="G33" s="772">
        <f t="shared" si="3"/>
        <v>30511074</v>
      </c>
      <c r="H33" s="772"/>
      <c r="I33" s="772">
        <f t="shared" si="4"/>
        <v>0</v>
      </c>
      <c r="J33" s="772">
        <f t="shared" si="5"/>
        <v>4015035.69</v>
      </c>
      <c r="K33" s="772">
        <f t="shared" si="6"/>
        <v>26496038.460000001</v>
      </c>
      <c r="L33" s="772"/>
      <c r="M33" s="616"/>
      <c r="N33" s="616">
        <v>4015035.69</v>
      </c>
      <c r="O33" s="616">
        <v>26496038.460000001</v>
      </c>
      <c r="P33" s="772"/>
      <c r="Q33" s="616"/>
      <c r="R33" s="616">
        <v>4015035.69</v>
      </c>
      <c r="S33" s="616">
        <v>26496038.460000001</v>
      </c>
    </row>
    <row r="34" spans="1:19">
      <c r="A34" s="790">
        <f t="shared" si="7"/>
        <v>5.0699999999999985</v>
      </c>
      <c r="B34" s="616" t="s">
        <v>1210</v>
      </c>
      <c r="C34" s="772">
        <f t="shared" si="1"/>
        <v>-49434738.020000003</v>
      </c>
      <c r="D34" s="772">
        <f t="shared" si="2"/>
        <v>-61583146.039999999</v>
      </c>
      <c r="E34" s="772"/>
      <c r="F34" s="772"/>
      <c r="G34" s="772">
        <f t="shared" si="3"/>
        <v>-55508942</v>
      </c>
      <c r="H34" s="772"/>
      <c r="I34" s="772">
        <f t="shared" si="4"/>
        <v>0</v>
      </c>
      <c r="J34" s="772">
        <f t="shared" si="5"/>
        <v>-11633669.84</v>
      </c>
      <c r="K34" s="772">
        <f t="shared" si="6"/>
        <v>-43875272.189999998</v>
      </c>
      <c r="L34" s="772"/>
      <c r="M34" s="616"/>
      <c r="N34" s="616">
        <v>-10340919.92</v>
      </c>
      <c r="O34" s="616">
        <v>-39093818.100000001</v>
      </c>
      <c r="P34" s="772"/>
      <c r="Q34" s="616"/>
      <c r="R34" s="616">
        <v>-12926419.76</v>
      </c>
      <c r="S34" s="616">
        <v>-48656726.280000001</v>
      </c>
    </row>
    <row r="35" spans="1:19">
      <c r="A35" s="790">
        <f t="shared" si="7"/>
        <v>5.0799999999999983</v>
      </c>
      <c r="B35" s="616" t="s">
        <v>1211</v>
      </c>
      <c r="C35" s="772">
        <f t="shared" si="1"/>
        <v>161862630.55000001</v>
      </c>
      <c r="D35" s="772">
        <f t="shared" si="2"/>
        <v>178386577.56999999</v>
      </c>
      <c r="E35" s="772"/>
      <c r="F35" s="772"/>
      <c r="G35" s="772">
        <f t="shared" si="3"/>
        <v>170124604</v>
      </c>
      <c r="H35" s="772"/>
      <c r="I35" s="772">
        <f t="shared" si="4"/>
        <v>0</v>
      </c>
      <c r="J35" s="772">
        <f t="shared" si="5"/>
        <v>61900836.504999995</v>
      </c>
      <c r="K35" s="772">
        <f t="shared" si="6"/>
        <v>108223767.55500001</v>
      </c>
      <c r="L35" s="772"/>
      <c r="M35" s="616"/>
      <c r="N35" s="616">
        <v>57479402.32</v>
      </c>
      <c r="O35" s="616">
        <v>104383228.23</v>
      </c>
      <c r="P35" s="772"/>
      <c r="Q35" s="616"/>
      <c r="R35" s="616">
        <v>66322270.689999998</v>
      </c>
      <c r="S35" s="616">
        <v>112064306.88</v>
      </c>
    </row>
    <row r="36" spans="1:19">
      <c r="A36" s="790">
        <f t="shared" si="7"/>
        <v>5.0899999999999981</v>
      </c>
      <c r="B36" s="616" t="s">
        <v>1212</v>
      </c>
      <c r="C36" s="772">
        <f t="shared" si="1"/>
        <v>-48202275.200000003</v>
      </c>
      <c r="D36" s="772">
        <f t="shared" si="2"/>
        <v>-53148712.259999998</v>
      </c>
      <c r="E36" s="772"/>
      <c r="F36" s="772"/>
      <c r="G36" s="772">
        <f t="shared" si="3"/>
        <v>-50675494</v>
      </c>
      <c r="H36" s="772"/>
      <c r="I36" s="772">
        <f t="shared" si="4"/>
        <v>0</v>
      </c>
      <c r="J36" s="772">
        <f t="shared" si="5"/>
        <v>-23695386.524999999</v>
      </c>
      <c r="K36" s="772">
        <f t="shared" si="6"/>
        <v>-26980107.204999998</v>
      </c>
      <c r="L36" s="772"/>
      <c r="M36" s="616"/>
      <c r="N36" s="616">
        <v>-22750285.690000001</v>
      </c>
      <c r="O36" s="616">
        <v>-25451989.510000002</v>
      </c>
      <c r="P36" s="772"/>
      <c r="Q36" s="616"/>
      <c r="R36" s="616">
        <v>-24640487.359999999</v>
      </c>
      <c r="S36" s="616">
        <v>-28508224.899999999</v>
      </c>
    </row>
    <row r="37" spans="1:19">
      <c r="A37" s="790">
        <f t="shared" si="7"/>
        <v>5.0999999999999979</v>
      </c>
      <c r="B37" s="616" t="s">
        <v>1213</v>
      </c>
      <c r="C37" s="772">
        <f t="shared" si="1"/>
        <v>-203299.55000000002</v>
      </c>
      <c r="D37" s="772">
        <f t="shared" si="2"/>
        <v>25084.690000000002</v>
      </c>
      <c r="E37" s="772"/>
      <c r="F37" s="772"/>
      <c r="G37" s="772">
        <f t="shared" si="3"/>
        <v>-89107</v>
      </c>
      <c r="H37" s="772"/>
      <c r="I37" s="772">
        <f t="shared" si="4"/>
        <v>0</v>
      </c>
      <c r="J37" s="772">
        <f t="shared" si="5"/>
        <v>-89107.430000000008</v>
      </c>
      <c r="K37" s="772">
        <f t="shared" si="6"/>
        <v>0</v>
      </c>
      <c r="L37" s="772"/>
      <c r="M37" s="616"/>
      <c r="N37" s="616">
        <v>-203299.55000000002</v>
      </c>
      <c r="O37" s="616">
        <v>0</v>
      </c>
      <c r="P37" s="772"/>
      <c r="Q37" s="616"/>
      <c r="R37" s="616">
        <v>25084.690000000002</v>
      </c>
      <c r="S37" s="616"/>
    </row>
    <row r="38" spans="1:19">
      <c r="A38" s="790">
        <f t="shared" si="7"/>
        <v>5.1099999999999977</v>
      </c>
      <c r="B38" s="616" t="s">
        <v>1214</v>
      </c>
      <c r="C38" s="772">
        <f t="shared" si="1"/>
        <v>117122685.33000001</v>
      </c>
      <c r="D38" s="772">
        <f t="shared" si="2"/>
        <v>132674299.90000001</v>
      </c>
      <c r="E38" s="772"/>
      <c r="F38" s="772"/>
      <c r="G38" s="772">
        <f t="shared" si="3"/>
        <v>124898493</v>
      </c>
      <c r="H38" s="772"/>
      <c r="I38" s="772">
        <f t="shared" si="4"/>
        <v>0</v>
      </c>
      <c r="J38" s="772">
        <f t="shared" si="5"/>
        <v>39984244.984999999</v>
      </c>
      <c r="K38" s="772">
        <f t="shared" si="6"/>
        <v>84914247.629999995</v>
      </c>
      <c r="L38" s="772"/>
      <c r="M38" s="616"/>
      <c r="N38" s="616">
        <v>37021012.770000003</v>
      </c>
      <c r="O38" s="616">
        <v>80101672.560000002</v>
      </c>
      <c r="P38" s="772"/>
      <c r="Q38" s="616"/>
      <c r="R38" s="616">
        <v>42947477.200000003</v>
      </c>
      <c r="S38" s="616">
        <v>89726822.700000003</v>
      </c>
    </row>
    <row r="39" spans="1:19">
      <c r="A39" s="790">
        <f t="shared" si="7"/>
        <v>5.1199999999999974</v>
      </c>
      <c r="B39" s="616" t="s">
        <v>1215</v>
      </c>
      <c r="C39" s="772">
        <f t="shared" si="1"/>
        <v>548994513.15999997</v>
      </c>
      <c r="D39" s="772">
        <f t="shared" si="2"/>
        <v>520279482.14999998</v>
      </c>
      <c r="E39" s="772"/>
      <c r="F39" s="772"/>
      <c r="G39" s="772">
        <f t="shared" si="3"/>
        <v>534636998</v>
      </c>
      <c r="H39" s="772"/>
      <c r="I39" s="772">
        <f t="shared" si="4"/>
        <v>0</v>
      </c>
      <c r="J39" s="772">
        <f t="shared" si="5"/>
        <v>218698578.56999999</v>
      </c>
      <c r="K39" s="772">
        <f t="shared" si="6"/>
        <v>315938419.08499998</v>
      </c>
      <c r="L39" s="772"/>
      <c r="M39" s="616"/>
      <c r="N39" s="616">
        <v>218686778.38</v>
      </c>
      <c r="O39" s="616">
        <v>330307734.77999997</v>
      </c>
      <c r="P39" s="772"/>
      <c r="Q39" s="616"/>
      <c r="R39" s="616">
        <v>218710378.75999999</v>
      </c>
      <c r="S39" s="616">
        <v>301569103.38999999</v>
      </c>
    </row>
    <row r="40" spans="1:19">
      <c r="A40" s="790">
        <f t="shared" si="7"/>
        <v>5.1299999999999972</v>
      </c>
      <c r="B40" s="616" t="s">
        <v>1216</v>
      </c>
      <c r="C40" s="772">
        <f t="shared" si="1"/>
        <v>359989.35</v>
      </c>
      <c r="D40" s="772">
        <f t="shared" si="2"/>
        <v>359989.35</v>
      </c>
      <c r="E40" s="772"/>
      <c r="F40" s="772"/>
      <c r="G40" s="772">
        <f t="shared" si="3"/>
        <v>359989</v>
      </c>
      <c r="H40" s="772"/>
      <c r="I40" s="772">
        <f t="shared" si="4"/>
        <v>0</v>
      </c>
      <c r="J40" s="772">
        <f t="shared" si="5"/>
        <v>78465.87</v>
      </c>
      <c r="K40" s="772">
        <f t="shared" si="6"/>
        <v>281523.48</v>
      </c>
      <c r="L40" s="772"/>
      <c r="M40" s="616"/>
      <c r="N40" s="616">
        <v>78465.87</v>
      </c>
      <c r="O40" s="616">
        <v>281523.48</v>
      </c>
      <c r="P40" s="772"/>
      <c r="Q40" s="616"/>
      <c r="R40" s="616">
        <v>78465.87</v>
      </c>
      <c r="S40" s="616">
        <v>281523.48</v>
      </c>
    </row>
    <row r="41" spans="1:19">
      <c r="A41" s="790">
        <f t="shared" si="7"/>
        <v>5.139999999999997</v>
      </c>
      <c r="B41" s="616" t="s">
        <v>1217</v>
      </c>
      <c r="C41" s="772">
        <f t="shared" si="1"/>
        <v>32467657.109999999</v>
      </c>
      <c r="D41" s="772">
        <f t="shared" si="2"/>
        <v>33866620.519999996</v>
      </c>
      <c r="E41" s="772"/>
      <c r="F41" s="772"/>
      <c r="G41" s="772">
        <f t="shared" si="3"/>
        <v>33167139</v>
      </c>
      <c r="H41" s="772"/>
      <c r="I41" s="772">
        <f t="shared" si="4"/>
        <v>0</v>
      </c>
      <c r="J41" s="772">
        <f t="shared" si="5"/>
        <v>946825.32000000007</v>
      </c>
      <c r="K41" s="772">
        <f t="shared" si="6"/>
        <v>32220313.494999997</v>
      </c>
      <c r="L41" s="772"/>
      <c r="M41" s="616"/>
      <c r="N41" s="616">
        <v>946825.32000000007</v>
      </c>
      <c r="O41" s="616">
        <v>31520831.789999999</v>
      </c>
      <c r="P41" s="772"/>
      <c r="Q41" s="616"/>
      <c r="R41" s="616">
        <v>946825.32000000007</v>
      </c>
      <c r="S41" s="616">
        <v>32919795.199999999</v>
      </c>
    </row>
    <row r="42" spans="1:19">
      <c r="A42" s="790">
        <f t="shared" si="7"/>
        <v>5.1499999999999968</v>
      </c>
      <c r="B42" s="616" t="s">
        <v>1218</v>
      </c>
      <c r="C42" s="772">
        <f t="shared" si="1"/>
        <v>467660602.05000001</v>
      </c>
      <c r="D42" s="772">
        <f t="shared" si="2"/>
        <v>501929934.60000002</v>
      </c>
      <c r="E42" s="772"/>
      <c r="F42" s="772"/>
      <c r="G42" s="772">
        <f t="shared" si="3"/>
        <v>484795268</v>
      </c>
      <c r="H42" s="772"/>
      <c r="I42" s="772">
        <f t="shared" si="4"/>
        <v>0</v>
      </c>
      <c r="J42" s="772">
        <f t="shared" si="5"/>
        <v>101014488.28999999</v>
      </c>
      <c r="K42" s="772">
        <f t="shared" si="6"/>
        <v>383780780.03499997</v>
      </c>
      <c r="L42" s="772"/>
      <c r="M42" s="616"/>
      <c r="N42" s="616">
        <v>95583466.230000004</v>
      </c>
      <c r="O42" s="616">
        <v>372077135.81999999</v>
      </c>
      <c r="P42" s="772"/>
      <c r="Q42" s="616"/>
      <c r="R42" s="616">
        <v>106445510.34999999</v>
      </c>
      <c r="S42" s="616">
        <v>395484424.25</v>
      </c>
    </row>
    <row r="43" spans="1:19">
      <c r="A43" s="790">
        <f t="shared" si="7"/>
        <v>5.1599999999999966</v>
      </c>
      <c r="B43" s="616" t="s">
        <v>1219</v>
      </c>
      <c r="C43" s="772">
        <f t="shared" si="1"/>
        <v>-3565626.4000000004</v>
      </c>
      <c r="D43" s="772">
        <f t="shared" si="2"/>
        <v>-3991682.91</v>
      </c>
      <c r="E43" s="772"/>
      <c r="F43" s="772"/>
      <c r="G43" s="772">
        <f t="shared" si="3"/>
        <v>-3778655</v>
      </c>
      <c r="H43" s="772"/>
      <c r="I43" s="772">
        <f t="shared" si="4"/>
        <v>0</v>
      </c>
      <c r="J43" s="772">
        <f t="shared" si="5"/>
        <v>-14289.43</v>
      </c>
      <c r="K43" s="772">
        <f t="shared" si="6"/>
        <v>-3764365.2250000001</v>
      </c>
      <c r="L43" s="772"/>
      <c r="M43" s="616"/>
      <c r="N43" s="616">
        <v>-12109.47</v>
      </c>
      <c r="O43" s="616">
        <v>-3553516.93</v>
      </c>
      <c r="P43" s="772"/>
      <c r="Q43" s="616"/>
      <c r="R43" s="616">
        <v>-16469.39</v>
      </c>
      <c r="S43" s="616">
        <v>-3975213.52</v>
      </c>
    </row>
    <row r="44" spans="1:19">
      <c r="A44" s="790">
        <f t="shared" si="7"/>
        <v>5.1699999999999964</v>
      </c>
      <c r="B44" s="616" t="s">
        <v>1293</v>
      </c>
      <c r="C44" s="772">
        <f t="shared" si="1"/>
        <v>-100350684</v>
      </c>
      <c r="D44" s="772">
        <f t="shared" si="2"/>
        <v>-100350684</v>
      </c>
      <c r="E44" s="772"/>
      <c r="F44" s="772"/>
      <c r="G44" s="772">
        <f t="shared" si="3"/>
        <v>-100350684</v>
      </c>
      <c r="H44" s="772"/>
      <c r="I44" s="772">
        <f t="shared" si="4"/>
        <v>0</v>
      </c>
      <c r="J44" s="772">
        <f t="shared" si="5"/>
        <v>-21940733.399999999</v>
      </c>
      <c r="K44" s="772">
        <f t="shared" si="6"/>
        <v>-78409950.599999994</v>
      </c>
      <c r="L44" s="772"/>
      <c r="M44" s="616"/>
      <c r="N44" s="616">
        <v>-21940733.399999999</v>
      </c>
      <c r="O44" s="616">
        <v>-78409950.599999994</v>
      </c>
      <c r="P44" s="772"/>
      <c r="Q44" s="616"/>
      <c r="R44" s="616">
        <v>-21940733.399999999</v>
      </c>
      <c r="S44" s="616">
        <v>-78409950.599999994</v>
      </c>
    </row>
    <row r="45" spans="1:19">
      <c r="A45" s="790">
        <f t="shared" si="7"/>
        <v>5.1799999999999962</v>
      </c>
      <c r="B45" s="616" t="s">
        <v>1220</v>
      </c>
      <c r="C45" s="772">
        <f t="shared" si="1"/>
        <v>0.21</v>
      </c>
      <c r="D45" s="772">
        <f t="shared" si="2"/>
        <v>0</v>
      </c>
      <c r="E45" s="772"/>
      <c r="F45" s="772"/>
      <c r="G45" s="772">
        <f t="shared" si="3"/>
        <v>0</v>
      </c>
      <c r="H45" s="772"/>
      <c r="I45" s="772">
        <f t="shared" si="4"/>
        <v>0</v>
      </c>
      <c r="J45" s="772">
        <f t="shared" si="5"/>
        <v>0</v>
      </c>
      <c r="K45" s="772">
        <f t="shared" si="6"/>
        <v>0.105</v>
      </c>
      <c r="L45" s="772"/>
      <c r="M45" s="616"/>
      <c r="N45" s="616">
        <v>0</v>
      </c>
      <c r="O45" s="616">
        <v>0.21</v>
      </c>
      <c r="P45" s="772"/>
      <c r="Q45" s="616"/>
      <c r="R45" s="616"/>
      <c r="S45" s="616"/>
    </row>
    <row r="46" spans="1:19">
      <c r="A46" s="790">
        <f t="shared" si="7"/>
        <v>5.1899999999999959</v>
      </c>
      <c r="B46" s="616" t="s">
        <v>1221</v>
      </c>
      <c r="C46" s="772">
        <f t="shared" si="1"/>
        <v>-16324985.879999999</v>
      </c>
      <c r="D46" s="772">
        <f t="shared" si="2"/>
        <v>0</v>
      </c>
      <c r="E46" s="772"/>
      <c r="F46" s="772"/>
      <c r="G46" s="772">
        <f t="shared" si="3"/>
        <v>-8162493</v>
      </c>
      <c r="H46" s="772"/>
      <c r="I46" s="772">
        <f t="shared" si="4"/>
        <v>0</v>
      </c>
      <c r="J46" s="772">
        <f t="shared" si="5"/>
        <v>-1137220.3500000001</v>
      </c>
      <c r="K46" s="772">
        <f t="shared" si="6"/>
        <v>-7025272.5899999999</v>
      </c>
      <c r="L46" s="772"/>
      <c r="M46" s="616"/>
      <c r="N46" s="616">
        <v>-2274440.7000000002</v>
      </c>
      <c r="O46" s="616">
        <v>-14050545.18</v>
      </c>
      <c r="P46" s="772"/>
      <c r="Q46" s="616"/>
      <c r="R46" s="616">
        <v>0</v>
      </c>
      <c r="S46" s="616"/>
    </row>
    <row r="47" spans="1:19">
      <c r="A47" s="790">
        <f t="shared" si="7"/>
        <v>5.1999999999999957</v>
      </c>
      <c r="B47" s="616" t="s">
        <v>1294</v>
      </c>
      <c r="C47" s="772">
        <f t="shared" si="1"/>
        <v>-0.09</v>
      </c>
      <c r="D47" s="772">
        <f t="shared" si="2"/>
        <v>-0.09</v>
      </c>
      <c r="E47" s="772"/>
      <c r="F47" s="772"/>
      <c r="G47" s="772">
        <f t="shared" si="3"/>
        <v>0</v>
      </c>
      <c r="H47" s="772"/>
      <c r="I47" s="772">
        <f t="shared" si="4"/>
        <v>0</v>
      </c>
      <c r="J47" s="772">
        <f t="shared" si="5"/>
        <v>-0.09</v>
      </c>
      <c r="K47" s="772">
        <f t="shared" si="6"/>
        <v>0</v>
      </c>
      <c r="L47" s="772"/>
      <c r="M47" s="616"/>
      <c r="N47" s="616">
        <v>-0.09</v>
      </c>
      <c r="O47" s="616">
        <v>0</v>
      </c>
      <c r="P47" s="772"/>
      <c r="Q47" s="616"/>
      <c r="R47" s="616">
        <v>-0.09</v>
      </c>
      <c r="S47" s="616"/>
    </row>
    <row r="48" spans="1:19">
      <c r="A48" s="790">
        <f t="shared" si="7"/>
        <v>5.2099999999999955</v>
      </c>
      <c r="B48" s="616" t="s">
        <v>1278</v>
      </c>
      <c r="C48" s="772">
        <f t="shared" si="1"/>
        <v>12677371.719999999</v>
      </c>
      <c r="D48" s="772">
        <f t="shared" si="2"/>
        <v>10433685.879999999</v>
      </c>
      <c r="E48" s="772"/>
      <c r="F48" s="772"/>
      <c r="G48" s="772">
        <f t="shared" si="3"/>
        <v>11555529</v>
      </c>
      <c r="H48" s="772"/>
      <c r="I48" s="772">
        <f t="shared" si="4"/>
        <v>0</v>
      </c>
      <c r="J48" s="772">
        <f t="shared" si="5"/>
        <v>196085.64</v>
      </c>
      <c r="K48" s="772">
        <f t="shared" si="6"/>
        <v>11359443.16</v>
      </c>
      <c r="L48" s="772"/>
      <c r="M48" s="616"/>
      <c r="N48" s="616">
        <v>241118.02000000002</v>
      </c>
      <c r="O48" s="616">
        <v>12436253.699999999</v>
      </c>
      <c r="P48" s="772"/>
      <c r="Q48" s="616"/>
      <c r="R48" s="616">
        <v>151053.26</v>
      </c>
      <c r="S48" s="616">
        <v>10282632.619999999</v>
      </c>
    </row>
    <row r="49" spans="1:19">
      <c r="A49" s="790">
        <f t="shared" si="7"/>
        <v>5.2199999999999953</v>
      </c>
      <c r="B49" s="616" t="s">
        <v>975</v>
      </c>
      <c r="C49" s="616">
        <f t="shared" ref="C49:D53" si="8">-E49</f>
        <v>455459.66000000003</v>
      </c>
      <c r="D49" s="616">
        <f t="shared" si="8"/>
        <v>455459.66000000003</v>
      </c>
      <c r="E49" s="772">
        <v>-455459.66000000003</v>
      </c>
      <c r="F49" s="772">
        <v>-455459.66000000003</v>
      </c>
      <c r="G49" s="772">
        <f t="shared" ref="G49:G53" si="9">ROUND(SUM(C49:F49)/2,0)</f>
        <v>0</v>
      </c>
      <c r="H49" s="772"/>
      <c r="I49" s="772"/>
      <c r="J49" s="772"/>
      <c r="K49" s="772"/>
      <c r="L49" s="772"/>
      <c r="M49" s="982"/>
      <c r="N49" s="982"/>
      <c r="O49" s="982"/>
      <c r="P49" s="772"/>
      <c r="Q49" s="982"/>
      <c r="R49" s="982"/>
      <c r="S49" s="982"/>
    </row>
    <row r="50" spans="1:19">
      <c r="A50" s="790">
        <f t="shared" si="7"/>
        <v>5.2299999999999951</v>
      </c>
      <c r="B50" s="616" t="s">
        <v>976</v>
      </c>
      <c r="C50" s="616">
        <f t="shared" ref="C50:C52" si="10">-E50</f>
        <v>49433076.57</v>
      </c>
      <c r="D50" s="616">
        <f t="shared" ref="D50:D52" si="11">-F50</f>
        <v>52311427.240000002</v>
      </c>
      <c r="E50" s="772">
        <v>-49433076.57</v>
      </c>
      <c r="F50" s="772">
        <v>-52311427.240000002</v>
      </c>
      <c r="G50" s="772">
        <f t="shared" si="9"/>
        <v>0</v>
      </c>
      <c r="H50" s="772"/>
      <c r="I50" s="772"/>
      <c r="J50" s="772"/>
      <c r="K50" s="772"/>
      <c r="L50" s="772"/>
      <c r="M50" s="982"/>
      <c r="N50" s="982"/>
      <c r="O50" s="982"/>
      <c r="P50" s="772"/>
      <c r="Q50" s="982"/>
      <c r="R50" s="982"/>
      <c r="S50" s="982"/>
    </row>
    <row r="51" spans="1:19">
      <c r="A51" s="790">
        <f t="shared" si="7"/>
        <v>5.2399999999999949</v>
      </c>
      <c r="B51" s="616" t="s">
        <v>1364</v>
      </c>
      <c r="C51" s="616">
        <f t="shared" ref="C51" si="12">-E51</f>
        <v>0</v>
      </c>
      <c r="D51" s="616">
        <f t="shared" ref="D51" si="13">-F51</f>
        <v>3100914.43</v>
      </c>
      <c r="E51" s="772">
        <v>0</v>
      </c>
      <c r="F51" s="772">
        <v>-3100914.43</v>
      </c>
      <c r="G51" s="772">
        <f t="shared" ref="G51" si="14">ROUND(SUM(C51:F51)/2,0)</f>
        <v>0</v>
      </c>
      <c r="H51" s="772"/>
      <c r="I51" s="772"/>
      <c r="J51" s="772"/>
      <c r="K51" s="772"/>
      <c r="L51" s="772"/>
      <c r="M51" s="982"/>
      <c r="N51" s="982"/>
      <c r="O51" s="982"/>
      <c r="P51" s="772"/>
      <c r="Q51" s="982"/>
      <c r="R51" s="982"/>
      <c r="S51" s="982"/>
    </row>
    <row r="52" spans="1:19">
      <c r="A52" s="790">
        <f t="shared" si="7"/>
        <v>5.2499999999999947</v>
      </c>
      <c r="B52" s="616" t="s">
        <v>977</v>
      </c>
      <c r="C52" s="616">
        <f t="shared" si="10"/>
        <v>-306912004</v>
      </c>
      <c r="D52" s="616">
        <f t="shared" si="11"/>
        <v>-295611746</v>
      </c>
      <c r="E52" s="772">
        <v>306912004</v>
      </c>
      <c r="F52" s="772">
        <v>295611746</v>
      </c>
      <c r="G52" s="772">
        <f t="shared" si="9"/>
        <v>0</v>
      </c>
      <c r="H52" s="772"/>
      <c r="I52" s="772"/>
      <c r="J52" s="772"/>
      <c r="K52" s="772"/>
      <c r="L52" s="772"/>
      <c r="M52" s="982"/>
      <c r="N52" s="982"/>
      <c r="O52" s="982"/>
      <c r="P52" s="772"/>
      <c r="Q52" s="982"/>
      <c r="R52" s="982"/>
      <c r="S52" s="982"/>
    </row>
    <row r="53" spans="1:19">
      <c r="A53" s="790">
        <f t="shared" si="7"/>
        <v>5.2599999999999945</v>
      </c>
      <c r="B53" s="616" t="s">
        <v>1107</v>
      </c>
      <c r="C53" s="616">
        <f t="shared" si="8"/>
        <v>-22451142</v>
      </c>
      <c r="D53" s="616">
        <f t="shared" si="8"/>
        <v>-22451142</v>
      </c>
      <c r="E53" s="772">
        <v>22451142</v>
      </c>
      <c r="F53" s="772">
        <v>22451142</v>
      </c>
      <c r="G53" s="772">
        <f t="shared" si="9"/>
        <v>0</v>
      </c>
      <c r="H53" s="772"/>
      <c r="I53" s="772"/>
      <c r="J53" s="772"/>
      <c r="K53" s="772"/>
      <c r="L53" s="772"/>
      <c r="M53" s="982"/>
      <c r="N53" s="982"/>
      <c r="O53" s="982"/>
      <c r="P53" s="772"/>
      <c r="Q53" s="982"/>
      <c r="R53" s="982"/>
      <c r="S53" s="982"/>
    </row>
    <row r="54" spans="1:19">
      <c r="A54"/>
    </row>
    <row r="55" spans="1:19">
      <c r="A55" s="780"/>
      <c r="B55" s="765"/>
      <c r="C55" s="772"/>
      <c r="D55" s="772"/>
      <c r="E55" s="772"/>
      <c r="F55" s="772"/>
      <c r="G55" s="772"/>
      <c r="H55" s="772"/>
      <c r="I55" s="772"/>
      <c r="J55" s="772"/>
      <c r="K55" s="772"/>
      <c r="L55" s="772"/>
      <c r="M55" s="772"/>
      <c r="N55" s="772"/>
      <c r="O55" s="772"/>
      <c r="P55" s="772"/>
      <c r="Q55" s="772"/>
      <c r="R55" s="772"/>
      <c r="S55" s="772"/>
    </row>
    <row r="56" spans="1:19" ht="13.5" thickBot="1">
      <c r="A56" s="780">
        <v>6</v>
      </c>
      <c r="B56" t="s">
        <v>721</v>
      </c>
      <c r="C56" s="775">
        <f>SUM(C28:C55)</f>
        <v>1229154303.3699999</v>
      </c>
      <c r="D56" s="775">
        <f>SUM(D28:D55)</f>
        <v>1273879604.8999999</v>
      </c>
      <c r="E56" s="775">
        <f>SUM(E28:E55)</f>
        <v>279474609.76999998</v>
      </c>
      <c r="F56" s="775">
        <f>SUM(F28:F55)</f>
        <v>262195086.67000002</v>
      </c>
      <c r="G56" s="775">
        <f>SUM(G28:G55)</f>
        <v>1522351803</v>
      </c>
      <c r="H56" s="772"/>
      <c r="I56" s="775">
        <f>SUM(I28:I55)</f>
        <v>0</v>
      </c>
      <c r="J56" s="775">
        <f>SUM(J28:J55)</f>
        <v>487247647.18999994</v>
      </c>
      <c r="K56" s="775">
        <f>SUM(K28:K55)</f>
        <v>1035104155.1650001</v>
      </c>
      <c r="L56" s="772"/>
      <c r="M56" s="775">
        <f>SUM(M28:M55)</f>
        <v>0</v>
      </c>
      <c r="N56" s="775">
        <f>SUM(N28:N55)</f>
        <v>478921671.32999998</v>
      </c>
      <c r="O56" s="775">
        <f>SUM(O28:O55)</f>
        <v>1029707241.8099999</v>
      </c>
      <c r="P56" s="772"/>
      <c r="Q56" s="775">
        <f>SUM(Q28:Q55)</f>
        <v>0</v>
      </c>
      <c r="R56" s="775">
        <f>SUM(R28:R55)</f>
        <v>495573623.05000001</v>
      </c>
      <c r="S56" s="775">
        <f>SUM(S28:S55)</f>
        <v>1040501068.52</v>
      </c>
    </row>
    <row r="57" spans="1:19" ht="13.5" thickTop="1">
      <c r="A57" s="780">
        <f>A56+1</f>
        <v>7</v>
      </c>
      <c r="B57" s="18" t="s">
        <v>734</v>
      </c>
      <c r="C57" s="776">
        <f>C32</f>
        <v>21525.989999999998</v>
      </c>
      <c r="D57" s="776">
        <f>D32</f>
        <v>131366.07</v>
      </c>
      <c r="E57" s="776">
        <f t="shared" ref="E57:G57" si="15">E32</f>
        <v>0</v>
      </c>
      <c r="F57" s="776">
        <f t="shared" si="15"/>
        <v>0</v>
      </c>
      <c r="G57" s="776">
        <f t="shared" si="15"/>
        <v>76446</v>
      </c>
      <c r="H57" s="772"/>
      <c r="I57" s="776">
        <f t="shared" ref="I57:K57" si="16">I32</f>
        <v>0</v>
      </c>
      <c r="J57" s="776">
        <f t="shared" si="16"/>
        <v>130.125</v>
      </c>
      <c r="K57" s="776">
        <f t="shared" si="16"/>
        <v>76315.904999999999</v>
      </c>
      <c r="L57" s="776"/>
      <c r="M57" s="776">
        <f t="shared" ref="M57:O57" si="17">M32</f>
        <v>0</v>
      </c>
      <c r="N57" s="776">
        <f t="shared" si="17"/>
        <v>-537.15</v>
      </c>
      <c r="O57" s="776">
        <f t="shared" si="17"/>
        <v>22063.14</v>
      </c>
      <c r="P57" s="772"/>
      <c r="Q57" s="776">
        <f t="shared" ref="Q57:S57" si="18">Q32</f>
        <v>0</v>
      </c>
      <c r="R57" s="776">
        <f t="shared" si="18"/>
        <v>797.4</v>
      </c>
      <c r="S57" s="776">
        <f t="shared" si="18"/>
        <v>130568.67</v>
      </c>
    </row>
    <row r="58" spans="1:19">
      <c r="A58" s="780"/>
      <c r="C58" s="772"/>
      <c r="D58" s="772"/>
      <c r="E58" s="772"/>
      <c r="F58" s="772"/>
      <c r="G58" s="772"/>
      <c r="H58" s="772"/>
      <c r="I58" s="772"/>
      <c r="J58" s="772"/>
      <c r="K58" s="772"/>
      <c r="L58" s="772"/>
      <c r="M58" s="772"/>
      <c r="N58" s="772"/>
      <c r="O58" s="772"/>
      <c r="P58" s="772"/>
      <c r="Q58" s="772"/>
      <c r="R58" s="772"/>
      <c r="S58" s="772"/>
    </row>
    <row r="59" spans="1:19">
      <c r="A59" s="780">
        <v>8</v>
      </c>
      <c r="B59" t="s">
        <v>722</v>
      </c>
      <c r="C59" s="772" t="s">
        <v>114</v>
      </c>
      <c r="D59" s="772"/>
      <c r="E59" s="772"/>
      <c r="F59" s="772"/>
      <c r="G59" s="772"/>
      <c r="H59" s="772"/>
      <c r="I59" s="772"/>
      <c r="J59" s="772"/>
      <c r="K59" s="772"/>
      <c r="L59" s="772"/>
      <c r="M59" s="772"/>
      <c r="N59" s="772"/>
      <c r="O59" s="772"/>
      <c r="P59" s="772"/>
      <c r="Q59" s="772"/>
      <c r="R59" s="772"/>
      <c r="S59" s="772"/>
    </row>
    <row r="60" spans="1:19">
      <c r="A60" s="780"/>
      <c r="B60" s="765"/>
      <c r="C60" s="772"/>
      <c r="D60" s="772"/>
      <c r="E60" s="772"/>
      <c r="F60" s="772"/>
      <c r="G60" s="772"/>
      <c r="H60" s="772"/>
      <c r="I60" s="772"/>
      <c r="J60" s="772"/>
      <c r="K60" s="772"/>
      <c r="L60" s="772"/>
      <c r="M60" s="772"/>
      <c r="N60" s="772"/>
      <c r="O60" s="772"/>
      <c r="P60" s="772"/>
      <c r="Q60" s="772"/>
      <c r="R60" s="772"/>
      <c r="S60" s="772"/>
    </row>
    <row r="61" spans="1:19">
      <c r="A61" s="790">
        <f>9+0.01</f>
        <v>9.01</v>
      </c>
      <c r="B61" s="616" t="s">
        <v>1295</v>
      </c>
      <c r="C61" s="772">
        <f t="shared" ref="C61:C109" si="19">SUM(M61:O61)</f>
        <v>257396</v>
      </c>
      <c r="D61" s="772">
        <f t="shared" ref="D61:D109" si="20">SUM(Q61:S61)</f>
        <v>257396</v>
      </c>
      <c r="E61" s="772"/>
      <c r="F61" s="772"/>
      <c r="G61" s="772">
        <f t="shared" ref="G61:G109" si="21">ROUND(SUM(C61:F61)/2,0)</f>
        <v>257396</v>
      </c>
      <c r="H61" s="772"/>
      <c r="I61" s="772">
        <f t="shared" ref="I61:I109" si="22">(M61+Q61)/2</f>
        <v>0</v>
      </c>
      <c r="J61" s="772">
        <f t="shared" ref="J61:J109" si="23">(N61+R61)/2</f>
        <v>0</v>
      </c>
      <c r="K61" s="772">
        <f t="shared" ref="K61:K109" si="24">(O61+S61)/2</f>
        <v>257396</v>
      </c>
      <c r="L61" s="772"/>
      <c r="M61" s="616"/>
      <c r="N61" s="616">
        <v>0</v>
      </c>
      <c r="O61" s="616">
        <v>257396</v>
      </c>
      <c r="P61" s="772"/>
      <c r="Q61" s="616"/>
      <c r="R61" s="616"/>
      <c r="S61" s="616">
        <v>257396</v>
      </c>
    </row>
    <row r="62" spans="1:19">
      <c r="A62" s="790">
        <f t="shared" ref="A62:A119" si="25">A61+0.01</f>
        <v>9.02</v>
      </c>
      <c r="B62" s="616" t="s">
        <v>1296</v>
      </c>
      <c r="C62" s="772">
        <f t="shared" si="19"/>
        <v>478510.83</v>
      </c>
      <c r="D62" s="772">
        <f t="shared" si="20"/>
        <v>478510.83</v>
      </c>
      <c r="E62" s="772"/>
      <c r="F62" s="772"/>
      <c r="G62" s="772">
        <f t="shared" si="21"/>
        <v>478511</v>
      </c>
      <c r="H62" s="772"/>
      <c r="I62" s="772">
        <f t="shared" si="22"/>
        <v>0</v>
      </c>
      <c r="J62" s="772">
        <f t="shared" si="23"/>
        <v>0</v>
      </c>
      <c r="K62" s="772">
        <f t="shared" si="24"/>
        <v>478510.83</v>
      </c>
      <c r="L62" s="772"/>
      <c r="M62" s="616"/>
      <c r="N62" s="616">
        <v>0</v>
      </c>
      <c r="O62" s="616">
        <v>478510.83</v>
      </c>
      <c r="P62" s="772"/>
      <c r="Q62" s="616"/>
      <c r="R62" s="616"/>
      <c r="S62" s="616">
        <v>478510.83</v>
      </c>
    </row>
    <row r="63" spans="1:19">
      <c r="A63" s="790">
        <f t="shared" si="25"/>
        <v>9.0299999999999994</v>
      </c>
      <c r="B63" s="616" t="s">
        <v>1297</v>
      </c>
      <c r="C63" s="772">
        <f t="shared" si="19"/>
        <v>12204322</v>
      </c>
      <c r="D63" s="772">
        <f t="shared" si="20"/>
        <v>23108509</v>
      </c>
      <c r="E63" s="772"/>
      <c r="F63" s="772"/>
      <c r="G63" s="772">
        <f t="shared" si="21"/>
        <v>17656416</v>
      </c>
      <c r="H63" s="772"/>
      <c r="I63" s="772">
        <f t="shared" si="22"/>
        <v>0</v>
      </c>
      <c r="J63" s="772">
        <f t="shared" si="23"/>
        <v>237048.5</v>
      </c>
      <c r="K63" s="772">
        <f t="shared" si="24"/>
        <v>17419367</v>
      </c>
      <c r="L63" s="772"/>
      <c r="M63" s="616"/>
      <c r="N63" s="616">
        <v>462329</v>
      </c>
      <c r="O63" s="616">
        <v>11741993</v>
      </c>
      <c r="P63" s="772"/>
      <c r="Q63" s="616"/>
      <c r="R63" s="616">
        <v>11768</v>
      </c>
      <c r="S63" s="616">
        <v>23096741</v>
      </c>
    </row>
    <row r="64" spans="1:19">
      <c r="A64" s="790">
        <f t="shared" si="25"/>
        <v>9.0399999999999991</v>
      </c>
      <c r="B64" s="616" t="s">
        <v>1204</v>
      </c>
      <c r="C64" s="772">
        <f t="shared" si="19"/>
        <v>523252.17</v>
      </c>
      <c r="D64" s="772">
        <f t="shared" si="20"/>
        <v>0</v>
      </c>
      <c r="E64" s="772"/>
      <c r="F64" s="772"/>
      <c r="G64" s="772">
        <f t="shared" si="21"/>
        <v>261626</v>
      </c>
      <c r="H64" s="772"/>
      <c r="I64" s="772">
        <f t="shared" si="22"/>
        <v>0</v>
      </c>
      <c r="J64" s="772">
        <f t="shared" si="23"/>
        <v>0</v>
      </c>
      <c r="K64" s="772">
        <f t="shared" si="24"/>
        <v>261626.08499999999</v>
      </c>
      <c r="L64" s="772"/>
      <c r="M64" s="616"/>
      <c r="N64" s="616">
        <v>0</v>
      </c>
      <c r="O64" s="616">
        <v>523252.17</v>
      </c>
      <c r="P64" s="772"/>
      <c r="Q64" s="616"/>
      <c r="R64" s="616"/>
      <c r="S64" s="616"/>
    </row>
    <row r="65" spans="1:19">
      <c r="A65" s="790">
        <f t="shared" si="25"/>
        <v>9.0499999999999989</v>
      </c>
      <c r="B65" s="616" t="s">
        <v>1298</v>
      </c>
      <c r="C65" s="772">
        <f t="shared" si="19"/>
        <v>19431.650000000001</v>
      </c>
      <c r="D65" s="772">
        <f t="shared" si="20"/>
        <v>26916.04</v>
      </c>
      <c r="E65" s="772"/>
      <c r="F65" s="772"/>
      <c r="G65" s="772">
        <f t="shared" si="21"/>
        <v>23174</v>
      </c>
      <c r="H65" s="772"/>
      <c r="I65" s="772">
        <f t="shared" si="22"/>
        <v>0</v>
      </c>
      <c r="J65" s="772">
        <f t="shared" si="23"/>
        <v>0</v>
      </c>
      <c r="K65" s="772">
        <f t="shared" si="24"/>
        <v>23173.845000000001</v>
      </c>
      <c r="L65" s="772"/>
      <c r="M65" s="616"/>
      <c r="N65" s="616">
        <v>0</v>
      </c>
      <c r="O65" s="616">
        <v>19431.650000000001</v>
      </c>
      <c r="P65" s="772"/>
      <c r="Q65" s="616"/>
      <c r="R65" s="616"/>
      <c r="S65" s="616">
        <v>26916.04</v>
      </c>
    </row>
    <row r="66" spans="1:19">
      <c r="A66" s="790">
        <f t="shared" si="25"/>
        <v>9.0599999999999987</v>
      </c>
      <c r="B66" s="616" t="s">
        <v>1299</v>
      </c>
      <c r="C66" s="772">
        <f t="shared" si="19"/>
        <v>5337.21</v>
      </c>
      <c r="D66" s="772">
        <f t="shared" si="20"/>
        <v>6428.7300000000005</v>
      </c>
      <c r="E66" s="772"/>
      <c r="F66" s="772"/>
      <c r="G66" s="772">
        <f t="shared" si="21"/>
        <v>5883</v>
      </c>
      <c r="H66" s="772"/>
      <c r="I66" s="772">
        <f t="shared" si="22"/>
        <v>0</v>
      </c>
      <c r="J66" s="772">
        <f t="shared" si="23"/>
        <v>0</v>
      </c>
      <c r="K66" s="772">
        <f t="shared" si="24"/>
        <v>5882.97</v>
      </c>
      <c r="L66" s="772"/>
      <c r="M66" s="616"/>
      <c r="N66" s="616">
        <v>0</v>
      </c>
      <c r="O66" s="616">
        <v>5337.21</v>
      </c>
      <c r="P66" s="772"/>
      <c r="Q66" s="616"/>
      <c r="R66" s="616"/>
      <c r="S66" s="616">
        <v>6428.7300000000005</v>
      </c>
    </row>
    <row r="67" spans="1:19">
      <c r="A67" s="790">
        <f t="shared" si="25"/>
        <v>9.0699999999999985</v>
      </c>
      <c r="B67" s="616" t="s">
        <v>1300</v>
      </c>
      <c r="C67" s="772">
        <f t="shared" si="19"/>
        <v>514.09</v>
      </c>
      <c r="D67" s="772">
        <f t="shared" si="20"/>
        <v>747.99</v>
      </c>
      <c r="E67" s="772"/>
      <c r="F67" s="772"/>
      <c r="G67" s="772">
        <f t="shared" si="21"/>
        <v>631</v>
      </c>
      <c r="H67" s="772"/>
      <c r="I67" s="772">
        <f t="shared" si="22"/>
        <v>0</v>
      </c>
      <c r="J67" s="772">
        <f t="shared" si="23"/>
        <v>0</v>
      </c>
      <c r="K67" s="772">
        <f t="shared" si="24"/>
        <v>631.04</v>
      </c>
      <c r="L67" s="772"/>
      <c r="M67" s="616"/>
      <c r="N67" s="616">
        <v>0</v>
      </c>
      <c r="O67" s="616">
        <v>514.09</v>
      </c>
      <c r="P67" s="772"/>
      <c r="Q67" s="616"/>
      <c r="R67" s="616"/>
      <c r="S67" s="616">
        <v>747.99</v>
      </c>
    </row>
    <row r="68" spans="1:19">
      <c r="A68" s="790">
        <f t="shared" si="25"/>
        <v>9.0799999999999983</v>
      </c>
      <c r="B68" s="616" t="s">
        <v>1301</v>
      </c>
      <c r="C68" s="772">
        <f t="shared" si="19"/>
        <v>6900.1100000000006</v>
      </c>
      <c r="D68" s="772">
        <f t="shared" si="20"/>
        <v>9541.56</v>
      </c>
      <c r="E68" s="772"/>
      <c r="F68" s="772"/>
      <c r="G68" s="772">
        <f t="shared" si="21"/>
        <v>8221</v>
      </c>
      <c r="H68" s="772"/>
      <c r="I68" s="772">
        <f t="shared" si="22"/>
        <v>0</v>
      </c>
      <c r="J68" s="772">
        <f t="shared" si="23"/>
        <v>0</v>
      </c>
      <c r="K68" s="772">
        <f t="shared" si="24"/>
        <v>8220.8349999999991</v>
      </c>
      <c r="L68" s="772"/>
      <c r="M68" s="616"/>
      <c r="N68" s="616">
        <v>0</v>
      </c>
      <c r="O68" s="616">
        <v>6900.1100000000006</v>
      </c>
      <c r="P68" s="772"/>
      <c r="Q68" s="616"/>
      <c r="R68" s="616"/>
      <c r="S68" s="616">
        <v>9541.56</v>
      </c>
    </row>
    <row r="69" spans="1:19">
      <c r="A69" s="790">
        <f t="shared" si="25"/>
        <v>9.0899999999999981</v>
      </c>
      <c r="B69" s="616" t="s">
        <v>1302</v>
      </c>
      <c r="C69" s="772">
        <f t="shared" si="19"/>
        <v>-0.21</v>
      </c>
      <c r="D69" s="772">
        <f t="shared" si="20"/>
        <v>0</v>
      </c>
      <c r="E69" s="772"/>
      <c r="F69" s="772"/>
      <c r="G69" s="772">
        <f t="shared" si="21"/>
        <v>0</v>
      </c>
      <c r="H69" s="772"/>
      <c r="I69" s="772">
        <f t="shared" si="22"/>
        <v>0</v>
      </c>
      <c r="J69" s="772">
        <f t="shared" si="23"/>
        <v>0</v>
      </c>
      <c r="K69" s="772">
        <f t="shared" si="24"/>
        <v>-0.105</v>
      </c>
      <c r="L69" s="772"/>
      <c r="M69" s="616"/>
      <c r="N69" s="616">
        <v>0</v>
      </c>
      <c r="O69" s="616">
        <v>-0.21</v>
      </c>
      <c r="P69" s="772"/>
      <c r="Q69" s="616"/>
      <c r="R69" s="616"/>
      <c r="S69" s="616"/>
    </row>
    <row r="70" spans="1:19">
      <c r="A70" s="790">
        <f t="shared" si="25"/>
        <v>9.0999999999999979</v>
      </c>
      <c r="B70" s="616" t="s">
        <v>1303</v>
      </c>
      <c r="C70" s="772">
        <f t="shared" si="19"/>
        <v>-0.08</v>
      </c>
      <c r="D70" s="772">
        <f t="shared" si="20"/>
        <v>-0.08</v>
      </c>
      <c r="E70" s="772"/>
      <c r="F70" s="772"/>
      <c r="G70" s="772">
        <f t="shared" si="21"/>
        <v>0</v>
      </c>
      <c r="H70" s="772"/>
      <c r="I70" s="772">
        <f t="shared" si="22"/>
        <v>0</v>
      </c>
      <c r="J70" s="772">
        <f t="shared" si="23"/>
        <v>0</v>
      </c>
      <c r="K70" s="772">
        <f t="shared" si="24"/>
        <v>-0.08</v>
      </c>
      <c r="L70" s="772"/>
      <c r="M70" s="616"/>
      <c r="N70" s="616">
        <v>0</v>
      </c>
      <c r="O70" s="616">
        <v>-0.08</v>
      </c>
      <c r="P70" s="772"/>
      <c r="Q70" s="616"/>
      <c r="R70" s="616"/>
      <c r="S70" s="616">
        <v>-0.08</v>
      </c>
    </row>
    <row r="71" spans="1:19">
      <c r="A71" s="790">
        <f t="shared" si="25"/>
        <v>9.1099999999999977</v>
      </c>
      <c r="B71" s="616" t="s">
        <v>1224</v>
      </c>
      <c r="C71" s="772">
        <f t="shared" si="19"/>
        <v>663616.61</v>
      </c>
      <c r="D71" s="772">
        <f t="shared" si="20"/>
        <v>-6861501.54</v>
      </c>
      <c r="E71" s="772"/>
      <c r="F71" s="772"/>
      <c r="G71" s="772">
        <f t="shared" si="21"/>
        <v>-3098942</v>
      </c>
      <c r="H71" s="772"/>
      <c r="I71" s="772">
        <f t="shared" si="22"/>
        <v>0</v>
      </c>
      <c r="J71" s="772">
        <f t="shared" si="23"/>
        <v>0</v>
      </c>
      <c r="K71" s="772">
        <f t="shared" si="24"/>
        <v>-3098942.4649999999</v>
      </c>
      <c r="L71" s="772"/>
      <c r="M71" s="616"/>
      <c r="N71" s="616">
        <v>0</v>
      </c>
      <c r="O71" s="616">
        <v>663616.61</v>
      </c>
      <c r="P71" s="772"/>
      <c r="Q71" s="616"/>
      <c r="R71" s="616"/>
      <c r="S71" s="616">
        <v>-6861501.54</v>
      </c>
    </row>
    <row r="72" spans="1:19">
      <c r="A72" s="790">
        <f t="shared" si="25"/>
        <v>9.1199999999999974</v>
      </c>
      <c r="B72" s="616" t="s">
        <v>1228</v>
      </c>
      <c r="C72" s="772">
        <f t="shared" si="19"/>
        <v>30965640.129999999</v>
      </c>
      <c r="D72" s="772">
        <f t="shared" si="20"/>
        <v>35801850.079999998</v>
      </c>
      <c r="E72" s="772"/>
      <c r="F72" s="772"/>
      <c r="G72" s="772">
        <f t="shared" si="21"/>
        <v>33383745</v>
      </c>
      <c r="H72" s="772"/>
      <c r="I72" s="772">
        <f t="shared" si="22"/>
        <v>0</v>
      </c>
      <c r="J72" s="772">
        <f t="shared" si="23"/>
        <v>5353618.6750000007</v>
      </c>
      <c r="K72" s="772">
        <f t="shared" si="24"/>
        <v>28030126.43</v>
      </c>
      <c r="L72" s="772"/>
      <c r="M72" s="616"/>
      <c r="N72" s="616">
        <v>4874086.82</v>
      </c>
      <c r="O72" s="616">
        <v>26091553.309999999</v>
      </c>
      <c r="P72" s="772"/>
      <c r="Q72" s="616"/>
      <c r="R72" s="616">
        <v>5833150.5300000003</v>
      </c>
      <c r="S72" s="616">
        <v>29968699.550000001</v>
      </c>
    </row>
    <row r="73" spans="1:19">
      <c r="A73" s="790">
        <f t="shared" si="25"/>
        <v>9.1299999999999972</v>
      </c>
      <c r="B73" s="616" t="s">
        <v>1229</v>
      </c>
      <c r="C73" s="772">
        <f t="shared" si="19"/>
        <v>-29548005.060000002</v>
      </c>
      <c r="D73" s="772">
        <f t="shared" si="20"/>
        <v>-28375496.309999999</v>
      </c>
      <c r="E73" s="772"/>
      <c r="F73" s="772"/>
      <c r="G73" s="772">
        <f t="shared" si="21"/>
        <v>-28961751</v>
      </c>
      <c r="H73" s="772"/>
      <c r="I73" s="772">
        <f t="shared" si="22"/>
        <v>0</v>
      </c>
      <c r="J73" s="772">
        <f t="shared" si="23"/>
        <v>-5042422.5600000005</v>
      </c>
      <c r="K73" s="772">
        <f t="shared" si="24"/>
        <v>-23919328.125</v>
      </c>
      <c r="L73" s="772"/>
      <c r="M73" s="616"/>
      <c r="N73" s="616">
        <v>-5074540.8</v>
      </c>
      <c r="O73" s="616">
        <v>-24473464.260000002</v>
      </c>
      <c r="P73" s="772"/>
      <c r="Q73" s="616"/>
      <c r="R73" s="616">
        <v>-5010304.32</v>
      </c>
      <c r="S73" s="616">
        <v>-23365191.989999998</v>
      </c>
    </row>
    <row r="74" spans="1:19">
      <c r="A74" s="790">
        <f t="shared" si="25"/>
        <v>9.139999999999997</v>
      </c>
      <c r="B74" s="616" t="s">
        <v>1245</v>
      </c>
      <c r="C74" s="772">
        <f t="shared" si="19"/>
        <v>978.23000000000013</v>
      </c>
      <c r="D74" s="772">
        <f t="shared" si="20"/>
        <v>151.62</v>
      </c>
      <c r="E74" s="772"/>
      <c r="F74" s="772"/>
      <c r="G74" s="772">
        <f t="shared" si="21"/>
        <v>565</v>
      </c>
      <c r="H74" s="772"/>
      <c r="I74" s="772">
        <f t="shared" si="22"/>
        <v>0</v>
      </c>
      <c r="J74" s="772">
        <f t="shared" si="23"/>
        <v>589.1450000000001</v>
      </c>
      <c r="K74" s="772">
        <f t="shared" si="24"/>
        <v>-24.220000000000002</v>
      </c>
      <c r="L74" s="772"/>
      <c r="M74" s="616"/>
      <c r="N74" s="616">
        <v>1026.8900000000001</v>
      </c>
      <c r="O74" s="616">
        <v>-48.660000000000004</v>
      </c>
      <c r="P74" s="772"/>
      <c r="Q74" s="616"/>
      <c r="R74" s="616">
        <v>151.4</v>
      </c>
      <c r="S74" s="616">
        <v>0.22</v>
      </c>
    </row>
    <row r="75" spans="1:19">
      <c r="A75" s="790">
        <f t="shared" si="25"/>
        <v>9.1499999999999968</v>
      </c>
      <c r="B75" s="616" t="s">
        <v>1246</v>
      </c>
      <c r="C75" s="772">
        <f t="shared" si="19"/>
        <v>7.0000000000000007E-2</v>
      </c>
      <c r="D75" s="772">
        <f t="shared" si="20"/>
        <v>0</v>
      </c>
      <c r="E75" s="772"/>
      <c r="F75" s="772"/>
      <c r="G75" s="772">
        <f t="shared" si="21"/>
        <v>0</v>
      </c>
      <c r="H75" s="772"/>
      <c r="I75" s="772">
        <f t="shared" si="22"/>
        <v>0</v>
      </c>
      <c r="J75" s="772">
        <f t="shared" si="23"/>
        <v>0</v>
      </c>
      <c r="K75" s="772">
        <f t="shared" si="24"/>
        <v>3.5000000000000003E-2</v>
      </c>
      <c r="L75" s="772"/>
      <c r="M75" s="616"/>
      <c r="N75" s="616">
        <v>0</v>
      </c>
      <c r="O75" s="616">
        <v>7.0000000000000007E-2</v>
      </c>
      <c r="P75" s="772"/>
      <c r="Q75" s="616"/>
      <c r="R75" s="616"/>
      <c r="S75" s="616"/>
    </row>
    <row r="76" spans="1:19">
      <c r="A76" s="790">
        <f t="shared" si="25"/>
        <v>9.1599999999999966</v>
      </c>
      <c r="B76" s="616" t="s">
        <v>1247</v>
      </c>
      <c r="C76" s="772">
        <f t="shared" si="19"/>
        <v>5998407.2000000002</v>
      </c>
      <c r="D76" s="772">
        <f t="shared" si="20"/>
        <v>3852758.84</v>
      </c>
      <c r="E76" s="772"/>
      <c r="F76" s="772"/>
      <c r="G76" s="772">
        <f t="shared" si="21"/>
        <v>4925583</v>
      </c>
      <c r="H76" s="772"/>
      <c r="I76" s="772">
        <f t="shared" si="22"/>
        <v>0</v>
      </c>
      <c r="J76" s="772">
        <f t="shared" si="23"/>
        <v>0</v>
      </c>
      <c r="K76" s="772">
        <f t="shared" si="24"/>
        <v>4925583.0199999996</v>
      </c>
      <c r="L76" s="772"/>
      <c r="M76" s="616"/>
      <c r="N76" s="616">
        <v>0</v>
      </c>
      <c r="O76" s="616">
        <v>5998407.2000000002</v>
      </c>
      <c r="P76" s="772"/>
      <c r="Q76" s="616"/>
      <c r="R76" s="616"/>
      <c r="S76" s="616">
        <v>3852758.84</v>
      </c>
    </row>
    <row r="77" spans="1:19">
      <c r="A77" s="790">
        <f t="shared" si="25"/>
        <v>9.1699999999999964</v>
      </c>
      <c r="B77" s="616" t="s">
        <v>1248</v>
      </c>
      <c r="C77" s="772">
        <f t="shared" si="19"/>
        <v>5941.34</v>
      </c>
      <c r="D77" s="772">
        <f t="shared" si="20"/>
        <v>38529.25</v>
      </c>
      <c r="E77" s="772"/>
      <c r="F77" s="772"/>
      <c r="G77" s="772">
        <f t="shared" si="21"/>
        <v>22235</v>
      </c>
      <c r="H77" s="772"/>
      <c r="I77" s="772">
        <f t="shared" si="22"/>
        <v>0</v>
      </c>
      <c r="J77" s="772">
        <f t="shared" si="23"/>
        <v>0</v>
      </c>
      <c r="K77" s="772">
        <f t="shared" si="24"/>
        <v>22235.294999999998</v>
      </c>
      <c r="L77" s="772"/>
      <c r="M77" s="616"/>
      <c r="N77" s="616">
        <v>0</v>
      </c>
      <c r="O77" s="616">
        <v>5941.34</v>
      </c>
      <c r="P77" s="772"/>
      <c r="Q77" s="616"/>
      <c r="R77" s="616"/>
      <c r="S77" s="616">
        <v>38529.25</v>
      </c>
    </row>
    <row r="78" spans="1:19">
      <c r="A78" s="790">
        <f t="shared" si="25"/>
        <v>9.1799999999999962</v>
      </c>
      <c r="B78" s="616" t="s">
        <v>1304</v>
      </c>
      <c r="C78" s="772">
        <f t="shared" si="19"/>
        <v>0.13</v>
      </c>
      <c r="D78" s="772">
        <f t="shared" si="20"/>
        <v>0.13</v>
      </c>
      <c r="E78" s="772"/>
      <c r="F78" s="772"/>
      <c r="G78" s="772">
        <f t="shared" si="21"/>
        <v>0</v>
      </c>
      <c r="H78" s="772"/>
      <c r="I78" s="772">
        <f t="shared" si="22"/>
        <v>0</v>
      </c>
      <c r="J78" s="772">
        <f t="shared" si="23"/>
        <v>0.06</v>
      </c>
      <c r="K78" s="772">
        <f t="shared" si="24"/>
        <v>7.0000000000000007E-2</v>
      </c>
      <c r="L78" s="772"/>
      <c r="M78" s="616"/>
      <c r="N78" s="616">
        <v>0.06</v>
      </c>
      <c r="O78" s="616">
        <v>7.0000000000000007E-2</v>
      </c>
      <c r="P78" s="772"/>
      <c r="Q78" s="616"/>
      <c r="R78" s="616">
        <v>0.06</v>
      </c>
      <c r="S78" s="616">
        <v>7.0000000000000007E-2</v>
      </c>
    </row>
    <row r="79" spans="1:19">
      <c r="A79" s="790">
        <f t="shared" si="25"/>
        <v>9.1899999999999959</v>
      </c>
      <c r="B79" s="616" t="s">
        <v>1305</v>
      </c>
      <c r="C79" s="772">
        <f t="shared" si="19"/>
        <v>0.03</v>
      </c>
      <c r="D79" s="772">
        <f t="shared" si="20"/>
        <v>0.03</v>
      </c>
      <c r="E79" s="772"/>
      <c r="F79" s="772"/>
      <c r="G79" s="772">
        <f t="shared" si="21"/>
        <v>0</v>
      </c>
      <c r="H79" s="772"/>
      <c r="I79" s="772">
        <f t="shared" si="22"/>
        <v>0</v>
      </c>
      <c r="J79" s="772">
        <f t="shared" si="23"/>
        <v>0</v>
      </c>
      <c r="K79" s="772">
        <f t="shared" si="24"/>
        <v>0.03</v>
      </c>
      <c r="L79" s="772"/>
      <c r="M79" s="616"/>
      <c r="N79" s="616">
        <v>0</v>
      </c>
      <c r="O79" s="616">
        <v>0.03</v>
      </c>
      <c r="P79" s="772"/>
      <c r="Q79" s="616"/>
      <c r="R79" s="616"/>
      <c r="S79" s="616">
        <v>0.03</v>
      </c>
    </row>
    <row r="80" spans="1:19">
      <c r="A80" s="790">
        <f t="shared" si="25"/>
        <v>9.1999999999999957</v>
      </c>
      <c r="B80" s="616" t="s">
        <v>1255</v>
      </c>
      <c r="C80" s="772">
        <f t="shared" si="19"/>
        <v>-663616.54</v>
      </c>
      <c r="D80" s="772">
        <f t="shared" si="20"/>
        <v>6861501.6100000003</v>
      </c>
      <c r="E80" s="772"/>
      <c r="F80" s="772"/>
      <c r="G80" s="772">
        <f t="shared" si="21"/>
        <v>3098943</v>
      </c>
      <c r="H80" s="772"/>
      <c r="I80" s="772">
        <f t="shared" si="22"/>
        <v>0</v>
      </c>
      <c r="J80" s="772">
        <f t="shared" si="23"/>
        <v>0</v>
      </c>
      <c r="K80" s="772">
        <f t="shared" si="24"/>
        <v>3098942.5350000001</v>
      </c>
      <c r="L80" s="772"/>
      <c r="M80" s="616"/>
      <c r="N80" s="616">
        <v>0</v>
      </c>
      <c r="O80" s="616">
        <v>-663616.54</v>
      </c>
      <c r="P80" s="772"/>
      <c r="Q80" s="616"/>
      <c r="R80" s="616"/>
      <c r="S80" s="616">
        <v>6861501.6100000003</v>
      </c>
    </row>
    <row r="81" spans="1:19">
      <c r="A81" s="790">
        <f t="shared" si="25"/>
        <v>9.2099999999999955</v>
      </c>
      <c r="B81" s="616" t="s">
        <v>1256</v>
      </c>
      <c r="C81" s="772">
        <f t="shared" si="19"/>
        <v>-59683.57</v>
      </c>
      <c r="D81" s="772">
        <f t="shared" si="20"/>
        <v>-59683.57</v>
      </c>
      <c r="E81" s="772"/>
      <c r="F81" s="772"/>
      <c r="G81" s="772">
        <f t="shared" si="21"/>
        <v>-59684</v>
      </c>
      <c r="H81" s="772"/>
      <c r="I81" s="772">
        <f t="shared" si="22"/>
        <v>0</v>
      </c>
      <c r="J81" s="772">
        <f t="shared" si="23"/>
        <v>0</v>
      </c>
      <c r="K81" s="772">
        <f t="shared" si="24"/>
        <v>-59683.57</v>
      </c>
      <c r="L81" s="772"/>
      <c r="M81" s="616"/>
      <c r="N81" s="616">
        <v>0</v>
      </c>
      <c r="O81" s="616">
        <v>-59683.57</v>
      </c>
      <c r="P81" s="772"/>
      <c r="Q81" s="616"/>
      <c r="R81" s="616"/>
      <c r="S81" s="616">
        <v>-59683.57</v>
      </c>
    </row>
    <row r="82" spans="1:19">
      <c r="A82" s="790">
        <f t="shared" si="25"/>
        <v>9.2199999999999953</v>
      </c>
      <c r="B82" s="616" t="s">
        <v>1306</v>
      </c>
      <c r="C82" s="772">
        <f t="shared" si="19"/>
        <v>-0.01</v>
      </c>
      <c r="D82" s="772">
        <f t="shared" si="20"/>
        <v>0</v>
      </c>
      <c r="E82" s="772"/>
      <c r="F82" s="772"/>
      <c r="G82" s="772">
        <f t="shared" si="21"/>
        <v>0</v>
      </c>
      <c r="H82" s="772"/>
      <c r="I82" s="772">
        <f t="shared" si="22"/>
        <v>0</v>
      </c>
      <c r="J82" s="772">
        <f t="shared" si="23"/>
        <v>-5.0000000000000001E-3</v>
      </c>
      <c r="K82" s="772">
        <f t="shared" si="24"/>
        <v>0</v>
      </c>
      <c r="L82" s="772"/>
      <c r="M82" s="616"/>
      <c r="N82" s="616">
        <v>-0.01</v>
      </c>
      <c r="O82" s="616">
        <v>0</v>
      </c>
      <c r="P82" s="772"/>
      <c r="Q82" s="616"/>
      <c r="R82" s="616"/>
      <c r="S82" s="616"/>
    </row>
    <row r="83" spans="1:19">
      <c r="A83" s="790">
        <f t="shared" si="25"/>
        <v>9.2299999999999951</v>
      </c>
      <c r="B83" s="616" t="s">
        <v>1257</v>
      </c>
      <c r="C83" s="772">
        <f t="shared" si="19"/>
        <v>29548005.060000002</v>
      </c>
      <c r="D83" s="772">
        <f t="shared" si="20"/>
        <v>28375496.309999999</v>
      </c>
      <c r="E83" s="772"/>
      <c r="F83" s="772"/>
      <c r="G83" s="772">
        <f t="shared" si="21"/>
        <v>28961751</v>
      </c>
      <c r="H83" s="772"/>
      <c r="I83" s="772">
        <f t="shared" si="22"/>
        <v>0</v>
      </c>
      <c r="J83" s="772">
        <f t="shared" si="23"/>
        <v>5042422.5600000005</v>
      </c>
      <c r="K83" s="772">
        <f t="shared" si="24"/>
        <v>23919328.125</v>
      </c>
      <c r="L83" s="772"/>
      <c r="M83" s="616"/>
      <c r="N83" s="616">
        <v>5074540.8</v>
      </c>
      <c r="O83" s="616">
        <v>24473464.260000002</v>
      </c>
      <c r="P83" s="772"/>
      <c r="Q83" s="616"/>
      <c r="R83" s="616">
        <v>5010304.32</v>
      </c>
      <c r="S83" s="616">
        <v>23365191.989999998</v>
      </c>
    </row>
    <row r="84" spans="1:19">
      <c r="A84" s="790">
        <f t="shared" si="25"/>
        <v>9.2399999999999949</v>
      </c>
      <c r="B84" s="616" t="s">
        <v>1258</v>
      </c>
      <c r="C84" s="772">
        <f t="shared" si="19"/>
        <v>32310.18</v>
      </c>
      <c r="D84" s="772">
        <f t="shared" si="20"/>
        <v>29331.54</v>
      </c>
      <c r="E84" s="772"/>
      <c r="F84" s="772"/>
      <c r="G84" s="772">
        <f t="shared" si="21"/>
        <v>30821</v>
      </c>
      <c r="H84" s="772"/>
      <c r="I84" s="772">
        <f t="shared" si="22"/>
        <v>0</v>
      </c>
      <c r="J84" s="772">
        <f t="shared" si="23"/>
        <v>0.73499999999999999</v>
      </c>
      <c r="K84" s="772">
        <f t="shared" si="24"/>
        <v>30820.125</v>
      </c>
      <c r="L84" s="772"/>
      <c r="M84" s="616"/>
      <c r="N84" s="616">
        <v>1.47</v>
      </c>
      <c r="O84" s="616">
        <v>32308.71</v>
      </c>
      <c r="P84" s="772"/>
      <c r="Q84" s="616"/>
      <c r="R84" s="616"/>
      <c r="S84" s="616">
        <v>29331.54</v>
      </c>
    </row>
    <row r="85" spans="1:19">
      <c r="A85" s="790">
        <f t="shared" si="25"/>
        <v>9.2499999999999947</v>
      </c>
      <c r="B85" s="616" t="s">
        <v>1259</v>
      </c>
      <c r="C85" s="772">
        <f t="shared" si="19"/>
        <v>-1450155.4200000002</v>
      </c>
      <c r="D85" s="772">
        <f t="shared" si="20"/>
        <v>-5049267.72</v>
      </c>
      <c r="E85" s="772"/>
      <c r="F85" s="772"/>
      <c r="G85" s="772">
        <f t="shared" si="21"/>
        <v>-3249712</v>
      </c>
      <c r="H85" s="772"/>
      <c r="I85" s="772">
        <f t="shared" si="22"/>
        <v>0</v>
      </c>
      <c r="J85" s="772">
        <f t="shared" si="23"/>
        <v>931033.1100000001</v>
      </c>
      <c r="K85" s="772">
        <f t="shared" si="24"/>
        <v>-4180744.68</v>
      </c>
      <c r="L85" s="772"/>
      <c r="M85" s="616"/>
      <c r="N85" s="616">
        <v>988757.07000000007</v>
      </c>
      <c r="O85" s="616">
        <v>-2438912.4900000002</v>
      </c>
      <c r="P85" s="772"/>
      <c r="Q85" s="616"/>
      <c r="R85" s="616">
        <v>873309.15</v>
      </c>
      <c r="S85" s="616">
        <v>-5922576.8700000001</v>
      </c>
    </row>
    <row r="86" spans="1:19">
      <c r="A86" s="790">
        <f t="shared" si="25"/>
        <v>9.2599999999999945</v>
      </c>
      <c r="B86" s="616" t="s">
        <v>1371</v>
      </c>
      <c r="C86" s="772">
        <f t="shared" ref="C86" si="26">SUM(M86:O86)</f>
        <v>0</v>
      </c>
      <c r="D86" s="772">
        <f t="shared" ref="D86" si="27">SUM(Q86:S86)</f>
        <v>-0.03</v>
      </c>
      <c r="E86" s="772"/>
      <c r="F86" s="772"/>
      <c r="G86" s="772">
        <f t="shared" ref="G86" si="28">ROUND(SUM(C86:F86)/2,0)</f>
        <v>0</v>
      </c>
      <c r="H86" s="772"/>
      <c r="I86" s="772">
        <f t="shared" ref="I86" si="29">(M86+Q86)/2</f>
        <v>0</v>
      </c>
      <c r="J86" s="772">
        <f t="shared" ref="J86" si="30">(N86+R86)/2</f>
        <v>0</v>
      </c>
      <c r="K86" s="772">
        <f t="shared" ref="K86" si="31">(O86+S86)/2</f>
        <v>-1.4999999999999999E-2</v>
      </c>
      <c r="L86" s="772"/>
      <c r="M86" s="616"/>
      <c r="N86" s="616"/>
      <c r="O86" s="616"/>
      <c r="P86" s="772"/>
      <c r="Q86" s="616"/>
      <c r="R86" s="616"/>
      <c r="S86" s="616">
        <v>-0.03</v>
      </c>
    </row>
    <row r="87" spans="1:19">
      <c r="A87" s="790">
        <f t="shared" si="25"/>
        <v>9.2699999999999942</v>
      </c>
      <c r="B87" s="616" t="s">
        <v>1260</v>
      </c>
      <c r="C87" s="772">
        <f t="shared" si="19"/>
        <v>5504639.4699999997</v>
      </c>
      <c r="D87" s="772">
        <f t="shared" si="20"/>
        <v>12264842.93</v>
      </c>
      <c r="E87" s="772"/>
      <c r="F87" s="772"/>
      <c r="G87" s="772">
        <f t="shared" si="21"/>
        <v>8884741</v>
      </c>
      <c r="H87" s="772"/>
      <c r="I87" s="772">
        <f t="shared" si="22"/>
        <v>0</v>
      </c>
      <c r="J87" s="772">
        <f t="shared" si="23"/>
        <v>0</v>
      </c>
      <c r="K87" s="772">
        <f t="shared" si="24"/>
        <v>8884741.1999999993</v>
      </c>
      <c r="L87" s="772"/>
      <c r="M87" s="616"/>
      <c r="N87" s="616">
        <v>0</v>
      </c>
      <c r="O87" s="616">
        <v>5504639.4699999997</v>
      </c>
      <c r="P87" s="772"/>
      <c r="Q87" s="616"/>
      <c r="R87" s="616"/>
      <c r="S87" s="616">
        <v>12264842.93</v>
      </c>
    </row>
    <row r="88" spans="1:19">
      <c r="A88" s="790">
        <f t="shared" si="25"/>
        <v>9.279999999999994</v>
      </c>
      <c r="B88" s="616" t="s">
        <v>1261</v>
      </c>
      <c r="C88" s="772">
        <f t="shared" si="19"/>
        <v>2306979.88</v>
      </c>
      <c r="D88" s="772">
        <f t="shared" si="20"/>
        <v>-0.21</v>
      </c>
      <c r="E88" s="772"/>
      <c r="F88" s="772"/>
      <c r="G88" s="772">
        <f t="shared" si="21"/>
        <v>1153490</v>
      </c>
      <c r="H88" s="772"/>
      <c r="I88" s="772">
        <f t="shared" si="22"/>
        <v>0</v>
      </c>
      <c r="J88" s="772">
        <f t="shared" si="23"/>
        <v>0</v>
      </c>
      <c r="K88" s="772">
        <f t="shared" si="24"/>
        <v>1153489.835</v>
      </c>
      <c r="L88" s="772"/>
      <c r="M88" s="616"/>
      <c r="N88" s="616">
        <v>0</v>
      </c>
      <c r="O88" s="616">
        <v>2306979.88</v>
      </c>
      <c r="P88" s="772"/>
      <c r="Q88" s="616"/>
      <c r="R88" s="616"/>
      <c r="S88" s="616">
        <v>-0.21</v>
      </c>
    </row>
    <row r="89" spans="1:19">
      <c r="A89" s="790">
        <f t="shared" si="25"/>
        <v>9.2899999999999938</v>
      </c>
      <c r="B89" s="616" t="s">
        <v>1307</v>
      </c>
      <c r="C89" s="772">
        <f t="shared" si="19"/>
        <v>-0.1</v>
      </c>
      <c r="D89" s="772">
        <f t="shared" si="20"/>
        <v>-0.1</v>
      </c>
      <c r="E89" s="772"/>
      <c r="F89" s="772"/>
      <c r="G89" s="772">
        <f t="shared" si="21"/>
        <v>0</v>
      </c>
      <c r="H89" s="772"/>
      <c r="I89" s="772">
        <f t="shared" si="22"/>
        <v>0</v>
      </c>
      <c r="J89" s="772">
        <f t="shared" si="23"/>
        <v>0</v>
      </c>
      <c r="K89" s="772">
        <f t="shared" si="24"/>
        <v>-0.1</v>
      </c>
      <c r="L89" s="772"/>
      <c r="M89" s="616"/>
      <c r="N89" s="616">
        <v>0</v>
      </c>
      <c r="O89" s="616">
        <v>-0.1</v>
      </c>
      <c r="P89" s="772"/>
      <c r="Q89" s="616"/>
      <c r="R89" s="616"/>
      <c r="S89" s="616">
        <v>-0.1</v>
      </c>
    </row>
    <row r="90" spans="1:19">
      <c r="A90" s="790">
        <f t="shared" si="25"/>
        <v>9.2999999999999936</v>
      </c>
      <c r="B90" s="616" t="s">
        <v>1308</v>
      </c>
      <c r="C90" s="772">
        <f t="shared" si="19"/>
        <v>0.21</v>
      </c>
      <c r="D90" s="772">
        <f t="shared" si="20"/>
        <v>0.21</v>
      </c>
      <c r="E90" s="772"/>
      <c r="F90" s="772"/>
      <c r="G90" s="772">
        <f t="shared" si="21"/>
        <v>0</v>
      </c>
      <c r="H90" s="772"/>
      <c r="I90" s="772">
        <f t="shared" si="22"/>
        <v>0</v>
      </c>
      <c r="J90" s="772">
        <f t="shared" si="23"/>
        <v>0</v>
      </c>
      <c r="K90" s="772">
        <f t="shared" si="24"/>
        <v>0.21</v>
      </c>
      <c r="L90" s="772"/>
      <c r="M90" s="616"/>
      <c r="N90" s="616">
        <v>0</v>
      </c>
      <c r="O90" s="616">
        <v>0.21</v>
      </c>
      <c r="P90" s="772"/>
      <c r="Q90" s="616"/>
      <c r="R90" s="616"/>
      <c r="S90" s="616">
        <v>0.21</v>
      </c>
    </row>
    <row r="91" spans="1:19">
      <c r="A91" s="790">
        <f t="shared" si="25"/>
        <v>9.3099999999999934</v>
      </c>
      <c r="B91" s="616" t="s">
        <v>1262</v>
      </c>
      <c r="C91" s="772">
        <f t="shared" si="19"/>
        <v>0</v>
      </c>
      <c r="D91" s="772">
        <f t="shared" si="20"/>
        <v>0</v>
      </c>
      <c r="E91" s="772"/>
      <c r="F91" s="772"/>
      <c r="G91" s="772">
        <f t="shared" si="21"/>
        <v>0</v>
      </c>
      <c r="H91" s="772"/>
      <c r="I91" s="772">
        <f t="shared" si="22"/>
        <v>0</v>
      </c>
      <c r="J91" s="772">
        <f t="shared" si="23"/>
        <v>0</v>
      </c>
      <c r="K91" s="772">
        <f t="shared" si="24"/>
        <v>0</v>
      </c>
      <c r="L91" s="772"/>
      <c r="M91" s="616"/>
      <c r="N91" s="616">
        <v>0</v>
      </c>
      <c r="O91" s="616">
        <v>0</v>
      </c>
      <c r="P91" s="772"/>
      <c r="Q91" s="616"/>
      <c r="R91" s="616"/>
      <c r="S91" s="616"/>
    </row>
    <row r="92" spans="1:19">
      <c r="A92" s="790">
        <f t="shared" si="25"/>
        <v>9.3199999999999932</v>
      </c>
      <c r="B92" s="616" t="s">
        <v>1263</v>
      </c>
      <c r="C92" s="772">
        <f t="shared" si="19"/>
        <v>0</v>
      </c>
      <c r="D92" s="772">
        <f t="shared" si="20"/>
        <v>0</v>
      </c>
      <c r="E92" s="772"/>
      <c r="F92" s="772"/>
      <c r="G92" s="772">
        <f t="shared" si="21"/>
        <v>0</v>
      </c>
      <c r="H92" s="772"/>
      <c r="I92" s="772">
        <f t="shared" si="22"/>
        <v>0</v>
      </c>
      <c r="J92" s="772">
        <f t="shared" si="23"/>
        <v>0</v>
      </c>
      <c r="K92" s="772">
        <f t="shared" si="24"/>
        <v>0</v>
      </c>
      <c r="L92" s="772"/>
      <c r="M92" s="616"/>
      <c r="N92" s="616">
        <v>0</v>
      </c>
      <c r="O92" s="616">
        <v>0</v>
      </c>
      <c r="P92" s="772"/>
      <c r="Q92" s="616"/>
      <c r="R92" s="616"/>
      <c r="S92" s="616"/>
    </row>
    <row r="93" spans="1:19">
      <c r="A93" s="790">
        <f t="shared" si="25"/>
        <v>9.329999999999993</v>
      </c>
      <c r="B93" s="616" t="s">
        <v>1264</v>
      </c>
      <c r="C93" s="772">
        <f t="shared" si="19"/>
        <v>5472772.3899999997</v>
      </c>
      <c r="D93" s="772">
        <f t="shared" si="20"/>
        <v>2607084.19</v>
      </c>
      <c r="E93" s="772"/>
      <c r="F93" s="772"/>
      <c r="G93" s="772">
        <f t="shared" si="21"/>
        <v>4039928</v>
      </c>
      <c r="H93" s="772"/>
      <c r="I93" s="772">
        <f t="shared" si="22"/>
        <v>0</v>
      </c>
      <c r="J93" s="772">
        <f t="shared" si="23"/>
        <v>4039928.29</v>
      </c>
      <c r="K93" s="772">
        <f t="shared" si="24"/>
        <v>0</v>
      </c>
      <c r="L93" s="772"/>
      <c r="M93" s="616"/>
      <c r="N93" s="616">
        <v>5472772.3899999997</v>
      </c>
      <c r="O93" s="616">
        <v>0</v>
      </c>
      <c r="P93" s="772"/>
      <c r="Q93" s="616"/>
      <c r="R93" s="616">
        <v>2607084.19</v>
      </c>
      <c r="S93" s="616"/>
    </row>
    <row r="94" spans="1:19">
      <c r="A94" s="790">
        <f t="shared" si="25"/>
        <v>9.3399999999999928</v>
      </c>
      <c r="B94" s="616" t="s">
        <v>1265</v>
      </c>
      <c r="C94" s="772">
        <f t="shared" si="19"/>
        <v>7098069.1399999997</v>
      </c>
      <c r="D94" s="772">
        <f t="shared" si="20"/>
        <v>9258070.2200000007</v>
      </c>
      <c r="E94" s="772"/>
      <c r="F94" s="772"/>
      <c r="G94" s="772">
        <f t="shared" si="21"/>
        <v>8178070</v>
      </c>
      <c r="H94" s="772"/>
      <c r="I94" s="772">
        <f t="shared" si="22"/>
        <v>0</v>
      </c>
      <c r="J94" s="772">
        <f t="shared" si="23"/>
        <v>0</v>
      </c>
      <c r="K94" s="772">
        <f t="shared" si="24"/>
        <v>8178069.6799999997</v>
      </c>
      <c r="L94" s="772"/>
      <c r="M94" s="616"/>
      <c r="N94" s="616">
        <v>0</v>
      </c>
      <c r="O94" s="616">
        <v>7098069.1399999997</v>
      </c>
      <c r="P94" s="772"/>
      <c r="Q94" s="616"/>
      <c r="R94" s="616"/>
      <c r="S94" s="616">
        <v>9258070.2200000007</v>
      </c>
    </row>
    <row r="95" spans="1:19">
      <c r="A95" s="790">
        <f t="shared" si="25"/>
        <v>9.3499999999999925</v>
      </c>
      <c r="B95" s="616" t="s">
        <v>1266</v>
      </c>
      <c r="C95" s="772">
        <f t="shared" si="19"/>
        <v>10925454.17</v>
      </c>
      <c r="D95" s="772">
        <f t="shared" si="20"/>
        <v>0.21</v>
      </c>
      <c r="E95" s="772"/>
      <c r="F95" s="772"/>
      <c r="G95" s="772">
        <f t="shared" si="21"/>
        <v>5462727</v>
      </c>
      <c r="H95" s="772"/>
      <c r="I95" s="772">
        <f t="shared" si="22"/>
        <v>0</v>
      </c>
      <c r="J95" s="772">
        <f t="shared" si="23"/>
        <v>0</v>
      </c>
      <c r="K95" s="772">
        <f t="shared" si="24"/>
        <v>5462727.1900000004</v>
      </c>
      <c r="L95" s="772"/>
      <c r="M95" s="616"/>
      <c r="N95" s="616">
        <v>0</v>
      </c>
      <c r="O95" s="616">
        <v>10925454.17</v>
      </c>
      <c r="P95" s="772"/>
      <c r="Q95" s="616"/>
      <c r="R95" s="616"/>
      <c r="S95" s="616">
        <v>0.21</v>
      </c>
    </row>
    <row r="96" spans="1:19">
      <c r="A96" s="790">
        <f t="shared" si="25"/>
        <v>9.3599999999999923</v>
      </c>
      <c r="B96" s="616" t="s">
        <v>1267</v>
      </c>
      <c r="C96" s="772">
        <f t="shared" si="19"/>
        <v>52412.71</v>
      </c>
      <c r="D96" s="772">
        <f t="shared" si="20"/>
        <v>52412.71</v>
      </c>
      <c r="E96" s="772"/>
      <c r="F96" s="772"/>
      <c r="G96" s="772">
        <f t="shared" si="21"/>
        <v>52413</v>
      </c>
      <c r="H96" s="772"/>
      <c r="I96" s="772">
        <f t="shared" si="22"/>
        <v>0</v>
      </c>
      <c r="J96" s="772">
        <f t="shared" si="23"/>
        <v>0</v>
      </c>
      <c r="K96" s="772">
        <f t="shared" si="24"/>
        <v>52412.71</v>
      </c>
      <c r="L96" s="772"/>
      <c r="M96" s="616"/>
      <c r="N96" s="616">
        <v>0</v>
      </c>
      <c r="O96" s="616">
        <v>52412.71</v>
      </c>
      <c r="P96" s="772"/>
      <c r="Q96" s="616"/>
      <c r="R96" s="616"/>
      <c r="S96" s="616">
        <v>52412.71</v>
      </c>
    </row>
    <row r="97" spans="1:19">
      <c r="A97" s="790">
        <f t="shared" si="25"/>
        <v>9.3699999999999921</v>
      </c>
      <c r="B97" s="616" t="s">
        <v>1268</v>
      </c>
      <c r="C97" s="772">
        <f t="shared" si="19"/>
        <v>0</v>
      </c>
      <c r="D97" s="772">
        <f t="shared" si="20"/>
        <v>393638.7</v>
      </c>
      <c r="E97" s="772"/>
      <c r="F97" s="772"/>
      <c r="G97" s="772">
        <f t="shared" si="21"/>
        <v>196819</v>
      </c>
      <c r="H97" s="772"/>
      <c r="I97" s="772">
        <f t="shared" si="22"/>
        <v>0</v>
      </c>
      <c r="J97" s="772">
        <f t="shared" si="23"/>
        <v>196819.35</v>
      </c>
      <c r="K97" s="772">
        <f t="shared" si="24"/>
        <v>0</v>
      </c>
      <c r="L97" s="772"/>
      <c r="M97" s="616"/>
      <c r="N97" s="616">
        <v>0</v>
      </c>
      <c r="O97" s="616">
        <v>0</v>
      </c>
      <c r="P97" s="772"/>
      <c r="Q97" s="616"/>
      <c r="R97" s="616">
        <v>393638.7</v>
      </c>
      <c r="S97" s="616"/>
    </row>
    <row r="98" spans="1:19">
      <c r="A98" s="790">
        <f t="shared" si="25"/>
        <v>9.3799999999999919</v>
      </c>
      <c r="B98" s="616" t="s">
        <v>1269</v>
      </c>
      <c r="C98" s="772">
        <f t="shared" si="19"/>
        <v>2885273.93</v>
      </c>
      <c r="D98" s="772">
        <f t="shared" si="20"/>
        <v>5655687.2400000002</v>
      </c>
      <c r="E98" s="772"/>
      <c r="F98" s="772"/>
      <c r="G98" s="772">
        <f t="shared" si="21"/>
        <v>4270481</v>
      </c>
      <c r="H98" s="772"/>
      <c r="I98" s="772">
        <f t="shared" si="22"/>
        <v>0</v>
      </c>
      <c r="J98" s="772">
        <f t="shared" si="23"/>
        <v>0</v>
      </c>
      <c r="K98" s="772">
        <f t="shared" si="24"/>
        <v>4270480.585</v>
      </c>
      <c r="L98" s="772"/>
      <c r="M98" s="616"/>
      <c r="N98" s="616">
        <v>0</v>
      </c>
      <c r="O98" s="616">
        <v>2885273.93</v>
      </c>
      <c r="P98" s="772"/>
      <c r="Q98" s="616"/>
      <c r="R98" s="616"/>
      <c r="S98" s="616">
        <v>5655687.2400000002</v>
      </c>
    </row>
    <row r="99" spans="1:19">
      <c r="A99" s="790">
        <f t="shared" si="25"/>
        <v>9.3899999999999917</v>
      </c>
      <c r="B99" s="616" t="s">
        <v>1271</v>
      </c>
      <c r="C99" s="772">
        <f t="shared" si="19"/>
        <v>265365.74</v>
      </c>
      <c r="D99" s="772">
        <f t="shared" si="20"/>
        <v>234697.55</v>
      </c>
      <c r="E99" s="772"/>
      <c r="F99" s="772"/>
      <c r="G99" s="772">
        <f t="shared" si="21"/>
        <v>250032</v>
      </c>
      <c r="H99" s="772"/>
      <c r="I99" s="772">
        <f t="shared" si="22"/>
        <v>0</v>
      </c>
      <c r="J99" s="772">
        <f t="shared" si="23"/>
        <v>-0.45</v>
      </c>
      <c r="K99" s="772">
        <f t="shared" si="24"/>
        <v>250032.095</v>
      </c>
      <c r="L99" s="772"/>
      <c r="M99" s="616"/>
      <c r="N99" s="616">
        <v>-0.45</v>
      </c>
      <c r="O99" s="616">
        <v>265366.19</v>
      </c>
      <c r="P99" s="772"/>
      <c r="Q99" s="616"/>
      <c r="R99" s="616">
        <v>-0.45</v>
      </c>
      <c r="S99" s="616">
        <v>234698</v>
      </c>
    </row>
    <row r="100" spans="1:19">
      <c r="A100" s="790">
        <f t="shared" si="25"/>
        <v>9.3999999999999915</v>
      </c>
      <c r="B100" s="616" t="s">
        <v>1276</v>
      </c>
      <c r="C100" s="772">
        <f t="shared" si="19"/>
        <v>-0.42000000000000004</v>
      </c>
      <c r="D100" s="772">
        <f t="shared" si="20"/>
        <v>-0.42000000000000004</v>
      </c>
      <c r="E100" s="772"/>
      <c r="F100" s="772"/>
      <c r="G100" s="772">
        <f t="shared" si="21"/>
        <v>0</v>
      </c>
      <c r="H100" s="772"/>
      <c r="I100" s="772">
        <f t="shared" si="22"/>
        <v>0</v>
      </c>
      <c r="J100" s="772">
        <f t="shared" si="23"/>
        <v>-0.22</v>
      </c>
      <c r="K100" s="772">
        <f t="shared" si="24"/>
        <v>-0.2</v>
      </c>
      <c r="L100" s="772"/>
      <c r="M100" s="616"/>
      <c r="N100" s="616">
        <v>-0.22</v>
      </c>
      <c r="O100" s="616">
        <v>-0.2</v>
      </c>
      <c r="P100" s="772"/>
      <c r="Q100" s="616"/>
      <c r="R100" s="616">
        <v>-0.22</v>
      </c>
      <c r="S100" s="616">
        <v>-0.2</v>
      </c>
    </row>
    <row r="101" spans="1:19">
      <c r="A101" s="790">
        <f t="shared" si="25"/>
        <v>9.4099999999999913</v>
      </c>
      <c r="B101" s="616" t="s">
        <v>1279</v>
      </c>
      <c r="C101" s="772">
        <f t="shared" si="19"/>
        <v>857237.9</v>
      </c>
      <c r="D101" s="772">
        <f t="shared" si="20"/>
        <v>855916.37</v>
      </c>
      <c r="E101" s="772"/>
      <c r="F101" s="772"/>
      <c r="G101" s="772">
        <f t="shared" si="21"/>
        <v>856577</v>
      </c>
      <c r="H101" s="772"/>
      <c r="I101" s="772">
        <f t="shared" si="22"/>
        <v>0</v>
      </c>
      <c r="J101" s="772">
        <f t="shared" si="23"/>
        <v>35325.810000000005</v>
      </c>
      <c r="K101" s="772">
        <f t="shared" si="24"/>
        <v>821251.32499999995</v>
      </c>
      <c r="L101" s="772"/>
      <c r="M101" s="616"/>
      <c r="N101" s="616">
        <v>40570.770000000004</v>
      </c>
      <c r="O101" s="616">
        <v>816667.13</v>
      </c>
      <c r="P101" s="772"/>
      <c r="Q101" s="616"/>
      <c r="R101" s="616">
        <v>30080.850000000002</v>
      </c>
      <c r="S101" s="616">
        <v>825835.52000000002</v>
      </c>
    </row>
    <row r="102" spans="1:19">
      <c r="A102" s="790">
        <f t="shared" si="25"/>
        <v>9.419999999999991</v>
      </c>
      <c r="B102" s="616" t="s">
        <v>1280</v>
      </c>
      <c r="C102" s="772">
        <f t="shared" si="19"/>
        <v>83109.17</v>
      </c>
      <c r="D102" s="772">
        <f t="shared" si="20"/>
        <v>83109.17</v>
      </c>
      <c r="E102" s="772"/>
      <c r="F102" s="772"/>
      <c r="G102" s="772">
        <f t="shared" si="21"/>
        <v>83109</v>
      </c>
      <c r="H102" s="772"/>
      <c r="I102" s="772">
        <f t="shared" si="22"/>
        <v>0</v>
      </c>
      <c r="J102" s="772">
        <f t="shared" si="23"/>
        <v>0</v>
      </c>
      <c r="K102" s="772">
        <f t="shared" si="24"/>
        <v>83109.17</v>
      </c>
      <c r="L102" s="772"/>
      <c r="M102" s="616"/>
      <c r="N102" s="616">
        <v>0</v>
      </c>
      <c r="O102" s="616">
        <v>83109.17</v>
      </c>
      <c r="P102" s="772"/>
      <c r="Q102" s="616"/>
      <c r="R102" s="616"/>
      <c r="S102" s="616">
        <v>83109.17</v>
      </c>
    </row>
    <row r="103" spans="1:19">
      <c r="A103" s="790">
        <f t="shared" si="25"/>
        <v>9.4299999999999908</v>
      </c>
      <c r="B103" s="616" t="s">
        <v>1368</v>
      </c>
      <c r="C103" s="772">
        <f t="shared" ref="C103:C104" si="32">SUM(M103:O103)</f>
        <v>0</v>
      </c>
      <c r="D103" s="772">
        <f t="shared" ref="D103:D104" si="33">SUM(Q103:S103)</f>
        <v>1228247.3899999999</v>
      </c>
      <c r="E103" s="772"/>
      <c r="F103" s="772"/>
      <c r="G103" s="772">
        <f t="shared" ref="G103:G104" si="34">ROUND(SUM(C103:F103)/2,0)</f>
        <v>614124</v>
      </c>
      <c r="H103" s="772"/>
      <c r="I103" s="772">
        <f t="shared" ref="I103:I104" si="35">(M103+Q103)/2</f>
        <v>0</v>
      </c>
      <c r="J103" s="772">
        <f t="shared" ref="J103:J104" si="36">(N103+R103)/2</f>
        <v>24313.100000000002</v>
      </c>
      <c r="K103" s="772">
        <f t="shared" ref="K103:K104" si="37">(O103+S103)/2</f>
        <v>589810.59499999997</v>
      </c>
      <c r="L103" s="772"/>
      <c r="M103" s="616"/>
      <c r="N103" s="616"/>
      <c r="O103" s="616"/>
      <c r="P103" s="772"/>
      <c r="Q103" s="616"/>
      <c r="R103" s="616">
        <v>48626.200000000004</v>
      </c>
      <c r="S103" s="616">
        <v>1179621.19</v>
      </c>
    </row>
    <row r="104" spans="1:19">
      <c r="A104" s="790">
        <f t="shared" si="25"/>
        <v>9.4399999999999906</v>
      </c>
      <c r="B104" s="616" t="s">
        <v>1369</v>
      </c>
      <c r="C104" s="772">
        <f t="shared" si="32"/>
        <v>0</v>
      </c>
      <c r="D104" s="772">
        <f t="shared" si="33"/>
        <v>72040.86</v>
      </c>
      <c r="E104" s="772"/>
      <c r="F104" s="772"/>
      <c r="G104" s="772">
        <f t="shared" si="34"/>
        <v>36020</v>
      </c>
      <c r="H104" s="772"/>
      <c r="I104" s="772">
        <f t="shared" si="35"/>
        <v>0</v>
      </c>
      <c r="J104" s="772">
        <f t="shared" si="36"/>
        <v>1041.95</v>
      </c>
      <c r="K104" s="772">
        <f t="shared" si="37"/>
        <v>34978.480000000003</v>
      </c>
      <c r="L104" s="772"/>
      <c r="M104" s="616"/>
      <c r="N104" s="616"/>
      <c r="O104" s="616"/>
      <c r="P104" s="772"/>
      <c r="Q104" s="616"/>
      <c r="R104" s="616">
        <v>2083.9</v>
      </c>
      <c r="S104" s="616">
        <v>69956.960000000006</v>
      </c>
    </row>
    <row r="105" spans="1:19">
      <c r="A105" s="790">
        <f t="shared" si="25"/>
        <v>9.4499999999999904</v>
      </c>
      <c r="B105" s="616" t="s">
        <v>1370</v>
      </c>
      <c r="C105" s="772">
        <f t="shared" ref="C105" si="38">SUM(M105:O105)</f>
        <v>0</v>
      </c>
      <c r="D105" s="772">
        <f t="shared" ref="D105" si="39">SUM(Q105:S105)</f>
        <v>5991434.8200000003</v>
      </c>
      <c r="E105" s="772"/>
      <c r="F105" s="772"/>
      <c r="G105" s="772">
        <f t="shared" ref="G105" si="40">ROUND(SUM(C105:F105)/2,0)</f>
        <v>2995717</v>
      </c>
      <c r="H105" s="772"/>
      <c r="I105" s="772">
        <f t="shared" ref="I105" si="41">(M105+Q105)/2</f>
        <v>0</v>
      </c>
      <c r="J105" s="772">
        <f t="shared" ref="J105" si="42">(N105+R105)/2</f>
        <v>0</v>
      </c>
      <c r="K105" s="772">
        <f t="shared" ref="K105" si="43">(O105+S105)/2</f>
        <v>2995717.41</v>
      </c>
      <c r="L105" s="772"/>
      <c r="M105" s="616"/>
      <c r="N105" s="616"/>
      <c r="O105" s="616"/>
      <c r="P105" s="772"/>
      <c r="Q105" s="616"/>
      <c r="R105" s="616"/>
      <c r="S105" s="616">
        <v>5991434.8200000003</v>
      </c>
    </row>
    <row r="106" spans="1:19">
      <c r="A106" s="790">
        <f t="shared" si="25"/>
        <v>9.4599999999999902</v>
      </c>
      <c r="B106" s="616" t="s">
        <v>1309</v>
      </c>
      <c r="C106" s="772">
        <f t="shared" si="19"/>
        <v>-0.16</v>
      </c>
      <c r="D106" s="772">
        <f t="shared" si="20"/>
        <v>-0.16</v>
      </c>
      <c r="E106" s="772"/>
      <c r="F106" s="772"/>
      <c r="G106" s="772">
        <f t="shared" si="21"/>
        <v>0</v>
      </c>
      <c r="H106" s="772"/>
      <c r="I106" s="772">
        <f t="shared" si="22"/>
        <v>0</v>
      </c>
      <c r="J106" s="772">
        <f t="shared" si="23"/>
        <v>-0.13</v>
      </c>
      <c r="K106" s="772">
        <f t="shared" si="24"/>
        <v>-0.03</v>
      </c>
      <c r="L106" s="772"/>
      <c r="M106" s="616"/>
      <c r="N106" s="616">
        <v>-0.13</v>
      </c>
      <c r="O106" s="616">
        <v>-0.03</v>
      </c>
      <c r="P106" s="772"/>
      <c r="Q106" s="616"/>
      <c r="R106" s="616">
        <v>-0.13</v>
      </c>
      <c r="S106" s="616">
        <v>-0.03</v>
      </c>
    </row>
    <row r="107" spans="1:19">
      <c r="A107" s="790">
        <f t="shared" si="25"/>
        <v>9.46999999999999</v>
      </c>
      <c r="B107" s="616" t="s">
        <v>1281</v>
      </c>
      <c r="C107" s="772">
        <f t="shared" si="19"/>
        <v>0</v>
      </c>
      <c r="D107" s="772">
        <f t="shared" si="20"/>
        <v>0</v>
      </c>
      <c r="E107" s="772"/>
      <c r="F107" s="772"/>
      <c r="G107" s="772">
        <f t="shared" si="21"/>
        <v>0</v>
      </c>
      <c r="H107" s="772"/>
      <c r="I107" s="772">
        <f t="shared" si="22"/>
        <v>0</v>
      </c>
      <c r="J107" s="772">
        <f t="shared" si="23"/>
        <v>0</v>
      </c>
      <c r="K107" s="772">
        <f t="shared" si="24"/>
        <v>0</v>
      </c>
      <c r="L107" s="772"/>
      <c r="M107" s="616"/>
      <c r="N107" s="616">
        <v>0</v>
      </c>
      <c r="O107" s="616">
        <v>0</v>
      </c>
      <c r="P107" s="772"/>
      <c r="Q107" s="616"/>
      <c r="R107" s="616"/>
      <c r="S107" s="616"/>
    </row>
    <row r="108" spans="1:19">
      <c r="A108" s="790">
        <f t="shared" si="25"/>
        <v>9.4799999999999898</v>
      </c>
      <c r="B108" s="616" t="s">
        <v>1284</v>
      </c>
      <c r="C108" s="772">
        <f t="shared" si="19"/>
        <v>-4658813.18</v>
      </c>
      <c r="D108" s="772">
        <f t="shared" si="20"/>
        <v>-4640690.5999999996</v>
      </c>
      <c r="E108" s="772"/>
      <c r="F108" s="772"/>
      <c r="G108" s="772">
        <f t="shared" si="21"/>
        <v>-4649752</v>
      </c>
      <c r="H108" s="772"/>
      <c r="I108" s="772">
        <f t="shared" si="22"/>
        <v>0</v>
      </c>
      <c r="J108" s="772">
        <f t="shared" si="23"/>
        <v>-659062.34499999997</v>
      </c>
      <c r="K108" s="772">
        <f t="shared" si="24"/>
        <v>-3990689.5449999999</v>
      </c>
      <c r="L108" s="772"/>
      <c r="M108" s="616"/>
      <c r="N108" s="616">
        <v>-569022.01</v>
      </c>
      <c r="O108" s="616">
        <v>-4089791.17</v>
      </c>
      <c r="P108" s="772"/>
      <c r="Q108" s="616"/>
      <c r="R108" s="616">
        <v>-749102.68</v>
      </c>
      <c r="S108" s="616">
        <v>-3891587.92</v>
      </c>
    </row>
    <row r="109" spans="1:19">
      <c r="A109" s="790">
        <f t="shared" si="25"/>
        <v>9.4899999999999896</v>
      </c>
      <c r="B109" s="616" t="s">
        <v>1286</v>
      </c>
      <c r="C109" s="772">
        <f t="shared" si="19"/>
        <v>0</v>
      </c>
      <c r="D109" s="772">
        <f t="shared" si="20"/>
        <v>0</v>
      </c>
      <c r="E109" s="772"/>
      <c r="F109" s="772"/>
      <c r="G109" s="772">
        <f t="shared" si="21"/>
        <v>0</v>
      </c>
      <c r="H109" s="772"/>
      <c r="I109" s="772">
        <f t="shared" si="22"/>
        <v>0</v>
      </c>
      <c r="J109" s="772">
        <f t="shared" si="23"/>
        <v>0</v>
      </c>
      <c r="K109" s="772">
        <f t="shared" si="24"/>
        <v>0</v>
      </c>
      <c r="L109" s="772"/>
      <c r="M109" s="616"/>
      <c r="N109" s="616">
        <v>0</v>
      </c>
      <c r="O109" s="616">
        <v>0</v>
      </c>
      <c r="P109" s="772"/>
      <c r="Q109" s="616"/>
      <c r="R109" s="616"/>
      <c r="S109" s="616"/>
    </row>
    <row r="110" spans="1:19">
      <c r="A110" s="790">
        <f t="shared" si="25"/>
        <v>9.4999999999999893</v>
      </c>
      <c r="B110" s="616" t="s">
        <v>975</v>
      </c>
      <c r="C110" s="616">
        <f t="shared" ref="C110:D119" si="44">-E110</f>
        <v>731576.15</v>
      </c>
      <c r="D110" s="616">
        <f t="shared" si="44"/>
        <v>775826.1</v>
      </c>
      <c r="E110" s="772">
        <v>-731576.15</v>
      </c>
      <c r="F110" s="772">
        <v>-775826.1</v>
      </c>
      <c r="G110" s="772">
        <f t="shared" ref="G110:G119" si="45">ROUND(SUM(C110:F110)/2,0)</f>
        <v>0</v>
      </c>
      <c r="H110" s="772"/>
      <c r="I110" s="772">
        <f t="shared" ref="I110:K119" si="46">(M110+Q110)/2</f>
        <v>0</v>
      </c>
      <c r="J110" s="772">
        <f t="shared" si="46"/>
        <v>0</v>
      </c>
      <c r="K110" s="772">
        <f t="shared" si="46"/>
        <v>0</v>
      </c>
      <c r="L110" s="772"/>
      <c r="M110" s="982"/>
      <c r="N110" s="982"/>
      <c r="O110" s="982"/>
      <c r="P110" s="772"/>
      <c r="Q110" s="982"/>
      <c r="R110" s="982"/>
      <c r="S110" s="982"/>
    </row>
    <row r="111" spans="1:19">
      <c r="A111" s="790">
        <f t="shared" si="25"/>
        <v>9.5099999999999891</v>
      </c>
      <c r="B111" s="616" t="s">
        <v>1181</v>
      </c>
      <c r="C111" s="616">
        <f t="shared" ref="C111" si="47">-E111</f>
        <v>65789.22</v>
      </c>
      <c r="D111" s="616">
        <f t="shared" ref="D111" si="48">-F111</f>
        <v>68238.06</v>
      </c>
      <c r="E111" s="772">
        <v>-65789.22</v>
      </c>
      <c r="F111" s="772">
        <v>-68238.06</v>
      </c>
      <c r="G111" s="772">
        <f t="shared" si="45"/>
        <v>0</v>
      </c>
      <c r="H111" s="772"/>
      <c r="I111" s="772">
        <f t="shared" ref="I111:I112" si="49">(M111+Q111)/2</f>
        <v>0</v>
      </c>
      <c r="J111" s="772">
        <f t="shared" ref="J111:J112" si="50">(N111+R111)/2</f>
        <v>0</v>
      </c>
      <c r="K111" s="772">
        <f t="shared" ref="K111:K112" si="51">(O111+S111)/2</f>
        <v>0</v>
      </c>
      <c r="L111" s="772"/>
      <c r="M111" s="982"/>
      <c r="N111" s="982"/>
      <c r="O111" s="982"/>
      <c r="P111" s="772"/>
      <c r="Q111" s="982"/>
      <c r="R111" s="982"/>
      <c r="S111" s="982"/>
    </row>
    <row r="112" spans="1:19">
      <c r="A112" s="790">
        <f t="shared" si="25"/>
        <v>9.5199999999999889</v>
      </c>
      <c r="B112" s="616" t="s">
        <v>978</v>
      </c>
      <c r="C112" s="616">
        <f t="shared" si="44"/>
        <v>14289275.02</v>
      </c>
      <c r="D112" s="616">
        <f t="shared" si="44"/>
        <v>15110944.609999999</v>
      </c>
      <c r="E112" s="772">
        <v>-14289275.02</v>
      </c>
      <c r="F112" s="772">
        <v>-15110944.609999999</v>
      </c>
      <c r="G112" s="772">
        <f t="shared" si="45"/>
        <v>0</v>
      </c>
      <c r="H112" s="772"/>
      <c r="I112" s="772">
        <f t="shared" si="49"/>
        <v>0</v>
      </c>
      <c r="J112" s="772">
        <f t="shared" si="50"/>
        <v>0</v>
      </c>
      <c r="K112" s="772">
        <f t="shared" si="51"/>
        <v>0</v>
      </c>
      <c r="L112" s="772"/>
      <c r="M112" s="982"/>
      <c r="N112" s="982"/>
      <c r="O112" s="982"/>
      <c r="P112" s="772"/>
      <c r="Q112" s="982"/>
      <c r="R112" s="982"/>
      <c r="S112" s="982"/>
    </row>
    <row r="113" spans="1:19">
      <c r="A113" s="790">
        <f t="shared" si="25"/>
        <v>9.5299999999999887</v>
      </c>
      <c r="B113" s="616" t="s">
        <v>979</v>
      </c>
      <c r="C113" s="616">
        <f t="shared" si="44"/>
        <v>-12204322</v>
      </c>
      <c r="D113" s="616">
        <f t="shared" si="44"/>
        <v>-20053928.73</v>
      </c>
      <c r="E113" s="772">
        <v>12204322</v>
      </c>
      <c r="F113" s="772">
        <v>20053928.73</v>
      </c>
      <c r="G113" s="772">
        <f t="shared" si="45"/>
        <v>0</v>
      </c>
      <c r="H113" s="772"/>
      <c r="I113" s="772">
        <f t="shared" si="46"/>
        <v>0</v>
      </c>
      <c r="J113" s="772">
        <f t="shared" si="46"/>
        <v>0</v>
      </c>
      <c r="K113" s="772">
        <f t="shared" si="46"/>
        <v>0</v>
      </c>
      <c r="L113" s="772"/>
      <c r="M113" s="982"/>
      <c r="N113" s="982"/>
      <c r="O113" s="982"/>
      <c r="P113" s="772"/>
      <c r="Q113" s="982"/>
      <c r="R113" s="982"/>
      <c r="S113" s="982"/>
    </row>
    <row r="114" spans="1:19">
      <c r="A114" s="790">
        <f t="shared" si="25"/>
        <v>9.5399999999999885</v>
      </c>
      <c r="B114" s="616" t="s">
        <v>1365</v>
      </c>
      <c r="C114" s="616">
        <f t="shared" ref="C114" si="52">-E114</f>
        <v>0</v>
      </c>
      <c r="D114" s="616">
        <f t="shared" ref="D114" si="53">-F114</f>
        <v>176534.84</v>
      </c>
      <c r="E114" s="772">
        <v>0</v>
      </c>
      <c r="F114" s="772">
        <v>-176534.84</v>
      </c>
      <c r="G114" s="772">
        <f t="shared" si="45"/>
        <v>0</v>
      </c>
      <c r="H114" s="772"/>
      <c r="I114" s="772">
        <f t="shared" si="46"/>
        <v>0</v>
      </c>
      <c r="J114" s="772">
        <f t="shared" si="46"/>
        <v>0</v>
      </c>
      <c r="K114" s="772">
        <f t="shared" si="46"/>
        <v>0</v>
      </c>
      <c r="L114" s="772"/>
      <c r="M114" s="982"/>
      <c r="N114" s="982"/>
      <c r="O114" s="982"/>
      <c r="P114" s="772"/>
      <c r="Q114" s="982"/>
      <c r="R114" s="982"/>
      <c r="S114" s="982"/>
    </row>
    <row r="115" spans="1:19">
      <c r="A115" s="790">
        <f t="shared" si="25"/>
        <v>9.5499999999999883</v>
      </c>
      <c r="B115" s="616" t="s">
        <v>1108</v>
      </c>
      <c r="C115" s="616">
        <f t="shared" ref="C115:C116" si="54">-E115</f>
        <v>-735906.83</v>
      </c>
      <c r="D115" s="616">
        <f t="shared" ref="D115:D116" si="55">-F115</f>
        <v>-735906.83</v>
      </c>
      <c r="E115" s="772">
        <v>735906.83</v>
      </c>
      <c r="F115" s="772">
        <v>735906.83</v>
      </c>
      <c r="G115" s="772">
        <f t="shared" si="45"/>
        <v>0</v>
      </c>
      <c r="H115" s="772"/>
      <c r="I115" s="772">
        <f t="shared" ref="I115:I117" si="56">(M115+Q115)/2</f>
        <v>0</v>
      </c>
      <c r="J115" s="772">
        <f t="shared" ref="J115:J117" si="57">(N115+R115)/2</f>
        <v>0</v>
      </c>
      <c r="K115" s="772">
        <f t="shared" ref="K115:K117" si="58">(O115+S115)/2</f>
        <v>0</v>
      </c>
      <c r="L115" s="772"/>
      <c r="M115" s="982"/>
      <c r="N115" s="982"/>
      <c r="O115" s="982"/>
      <c r="P115" s="772"/>
      <c r="Q115" s="982"/>
      <c r="R115" s="982"/>
      <c r="S115" s="982"/>
    </row>
    <row r="116" spans="1:19">
      <c r="A116" s="790">
        <f t="shared" si="25"/>
        <v>9.5599999999999881</v>
      </c>
      <c r="B116" s="616" t="s">
        <v>1109</v>
      </c>
      <c r="C116" s="616">
        <f t="shared" si="54"/>
        <v>2278623</v>
      </c>
      <c r="D116" s="616">
        <f t="shared" si="55"/>
        <v>2278623</v>
      </c>
      <c r="E116" s="772">
        <v>-2278623</v>
      </c>
      <c r="F116" s="772">
        <v>-2278623</v>
      </c>
      <c r="G116" s="772">
        <f t="shared" si="45"/>
        <v>0</v>
      </c>
      <c r="H116" s="772"/>
      <c r="I116" s="772">
        <f t="shared" si="56"/>
        <v>0</v>
      </c>
      <c r="J116" s="772">
        <f t="shared" si="57"/>
        <v>0</v>
      </c>
      <c r="K116" s="772">
        <f t="shared" si="58"/>
        <v>0</v>
      </c>
      <c r="L116" s="772"/>
      <c r="M116" s="982"/>
      <c r="N116" s="982"/>
      <c r="O116" s="982"/>
      <c r="P116" s="772"/>
      <c r="Q116" s="982"/>
      <c r="R116" s="982"/>
      <c r="S116" s="982"/>
    </row>
    <row r="117" spans="1:19">
      <c r="A117" s="790">
        <f t="shared" si="25"/>
        <v>9.5699999999999878</v>
      </c>
      <c r="B117" s="616" t="s">
        <v>980</v>
      </c>
      <c r="C117" s="616">
        <f t="shared" si="44"/>
        <v>0</v>
      </c>
      <c r="D117" s="616">
        <f t="shared" si="44"/>
        <v>0</v>
      </c>
      <c r="E117" s="772">
        <v>0</v>
      </c>
      <c r="F117" s="772">
        <v>0</v>
      </c>
      <c r="G117" s="772">
        <f t="shared" si="45"/>
        <v>0</v>
      </c>
      <c r="H117" s="772"/>
      <c r="I117" s="772">
        <f t="shared" si="56"/>
        <v>0</v>
      </c>
      <c r="J117" s="772">
        <f t="shared" si="57"/>
        <v>0</v>
      </c>
      <c r="K117" s="772">
        <f t="shared" si="58"/>
        <v>0</v>
      </c>
      <c r="L117" s="772"/>
      <c r="M117" s="982"/>
      <c r="N117" s="982"/>
      <c r="O117" s="982"/>
      <c r="P117" s="772"/>
      <c r="Q117" s="982"/>
      <c r="R117" s="982"/>
      <c r="S117" s="982"/>
    </row>
    <row r="118" spans="1:19">
      <c r="A118" s="790">
        <f t="shared" si="25"/>
        <v>9.5799999999999876</v>
      </c>
      <c r="B118" s="616" t="s">
        <v>981</v>
      </c>
      <c r="C118" s="616">
        <f t="shared" si="44"/>
        <v>0</v>
      </c>
      <c r="D118" s="616">
        <f t="shared" si="44"/>
        <v>0</v>
      </c>
      <c r="E118" s="772">
        <v>0</v>
      </c>
      <c r="F118" s="772">
        <v>0</v>
      </c>
      <c r="G118" s="772">
        <f>ROUND(SUM(C118:F118)/2,0)</f>
        <v>0</v>
      </c>
      <c r="H118" s="772"/>
      <c r="I118" s="772">
        <f t="shared" si="46"/>
        <v>0</v>
      </c>
      <c r="J118" s="772">
        <f t="shared" si="46"/>
        <v>0</v>
      </c>
      <c r="K118" s="772">
        <f t="shared" si="46"/>
        <v>0</v>
      </c>
      <c r="L118" s="772"/>
      <c r="M118" s="982"/>
      <c r="N118" s="982"/>
      <c r="O118" s="982"/>
      <c r="P118" s="772"/>
      <c r="Q118" s="982"/>
      <c r="R118" s="982"/>
      <c r="S118" s="982"/>
    </row>
    <row r="119" spans="1:19">
      <c r="A119" s="790">
        <f t="shared" si="25"/>
        <v>9.5899999999999874</v>
      </c>
      <c r="B119" s="616" t="s">
        <v>982</v>
      </c>
      <c r="C119" s="616">
        <f t="shared" si="44"/>
        <v>0</v>
      </c>
      <c r="D119" s="616">
        <f t="shared" si="44"/>
        <v>0</v>
      </c>
      <c r="E119" s="772">
        <v>0</v>
      </c>
      <c r="F119" s="772">
        <v>0</v>
      </c>
      <c r="G119" s="772">
        <f t="shared" si="45"/>
        <v>0</v>
      </c>
      <c r="H119" s="772"/>
      <c r="I119" s="772">
        <f t="shared" si="46"/>
        <v>0</v>
      </c>
      <c r="J119" s="772">
        <f t="shared" si="46"/>
        <v>0</v>
      </c>
      <c r="K119" s="772">
        <f t="shared" si="46"/>
        <v>0</v>
      </c>
      <c r="L119" s="772"/>
      <c r="M119" s="982"/>
      <c r="N119" s="982"/>
      <c r="O119" s="982"/>
      <c r="P119" s="772"/>
      <c r="Q119" s="982"/>
      <c r="R119" s="982"/>
      <c r="S119" s="982"/>
    </row>
    <row r="120" spans="1:19">
      <c r="A120" s="780"/>
      <c r="B120" s="765"/>
      <c r="C120" s="772"/>
      <c r="D120" s="772"/>
      <c r="E120" s="772"/>
      <c r="F120" s="772"/>
      <c r="G120" s="772"/>
      <c r="H120" s="772"/>
      <c r="I120" s="772"/>
      <c r="J120" s="772"/>
      <c r="K120" s="772"/>
      <c r="L120" s="772"/>
      <c r="M120" s="772"/>
      <c r="N120" s="772"/>
      <c r="O120" s="772"/>
      <c r="P120" s="772"/>
      <c r="Q120" s="772"/>
      <c r="R120" s="772"/>
      <c r="S120" s="772"/>
    </row>
    <row r="121" spans="1:19">
      <c r="A121" s="780"/>
      <c r="B121" s="765"/>
      <c r="C121" s="772"/>
      <c r="D121" s="772"/>
      <c r="E121" s="772"/>
      <c r="F121" s="772"/>
      <c r="G121" s="772"/>
      <c r="H121" s="772"/>
      <c r="I121" s="772"/>
      <c r="J121" s="772"/>
      <c r="K121" s="772"/>
      <c r="L121" s="772"/>
      <c r="M121" s="772"/>
      <c r="N121" s="772"/>
      <c r="O121" s="772"/>
      <c r="P121" s="772"/>
      <c r="Q121" s="772"/>
      <c r="R121" s="772"/>
      <c r="S121" s="772"/>
    </row>
    <row r="122" spans="1:19" ht="13.5" thickBot="1">
      <c r="A122" s="780">
        <v>10</v>
      </c>
      <c r="C122" s="775">
        <f>SUM(C61:C121)</f>
        <v>84206637.560000002</v>
      </c>
      <c r="D122" s="775">
        <f>SUM(D61:D121)</f>
        <v>90178542.439999983</v>
      </c>
      <c r="E122" s="775">
        <f>SUM(E61:E121)</f>
        <v>-4425034.5599999987</v>
      </c>
      <c r="F122" s="775">
        <f>SUM(F61:F121)</f>
        <v>2379668.9500000011</v>
      </c>
      <c r="G122" s="775">
        <f>SUM(G61:G121)</f>
        <v>86169908</v>
      </c>
      <c r="H122" s="778"/>
      <c r="I122" s="775">
        <f>SUM(I61:I121)</f>
        <v>0</v>
      </c>
      <c r="J122" s="775">
        <f>SUM(J61:J121)</f>
        <v>10160655.574999999</v>
      </c>
      <c r="K122" s="775">
        <f>SUM(K61:K121)</f>
        <v>76009251.619999975</v>
      </c>
      <c r="L122" s="778"/>
      <c r="M122" s="775">
        <f>SUM(M61:M121)</f>
        <v>0</v>
      </c>
      <c r="N122" s="775">
        <f>SUM(N61:N121)</f>
        <v>11270521.65</v>
      </c>
      <c r="O122" s="775">
        <f>SUM(O61:O121)</f>
        <v>68511081.349999979</v>
      </c>
      <c r="P122" s="778"/>
      <c r="Q122" s="775">
        <f>SUM(Q61:Q121)</f>
        <v>0</v>
      </c>
      <c r="R122" s="775">
        <f>SUM(R61:R121)</f>
        <v>9050789.4999999981</v>
      </c>
      <c r="S122" s="775">
        <f>SUM(S61:S121)</f>
        <v>83507421.889999971</v>
      </c>
    </row>
    <row r="123" spans="1:19" ht="13.5" thickTop="1">
      <c r="A123" s="780"/>
      <c r="B123" s="765"/>
      <c r="C123" s="776"/>
      <c r="D123" s="776"/>
      <c r="E123" s="776"/>
      <c r="F123" s="776"/>
      <c r="G123" s="776"/>
      <c r="H123" s="772"/>
      <c r="I123" s="776"/>
      <c r="J123" s="776"/>
      <c r="K123" s="776"/>
      <c r="L123" s="772"/>
      <c r="M123" s="776"/>
      <c r="N123" s="776"/>
      <c r="O123" s="776"/>
      <c r="P123" s="772"/>
      <c r="Q123" s="776"/>
      <c r="R123" s="776"/>
      <c r="S123" s="776"/>
    </row>
    <row r="124" spans="1:19">
      <c r="A124" s="780"/>
      <c r="B124" s="765"/>
      <c r="C124" s="772"/>
      <c r="D124" s="772"/>
      <c r="E124" s="772"/>
      <c r="F124" s="772"/>
      <c r="G124" s="772"/>
      <c r="H124" s="772"/>
      <c r="I124" s="772"/>
      <c r="J124" s="772"/>
      <c r="K124" s="772"/>
      <c r="L124" s="772"/>
      <c r="M124" s="772"/>
      <c r="N124" s="772"/>
      <c r="O124" s="772"/>
      <c r="P124" s="772"/>
      <c r="Q124" s="772"/>
      <c r="R124" s="772"/>
      <c r="S124" s="772"/>
    </row>
    <row r="125" spans="1:19">
      <c r="A125" s="780">
        <f>+A122+1</f>
        <v>11</v>
      </c>
      <c r="B125" t="s">
        <v>723</v>
      </c>
      <c r="C125" s="772">
        <f>SUM(M125:O125)</f>
        <v>68478967.329999998</v>
      </c>
      <c r="D125" s="772">
        <f>SUM(Q125:S125)</f>
        <v>71275987.040000021</v>
      </c>
      <c r="E125" s="772"/>
      <c r="F125" s="772"/>
      <c r="G125" s="772">
        <f>ROUND(SUM(C125:F125)/2,0)</f>
        <v>69877477</v>
      </c>
      <c r="H125" s="772"/>
      <c r="I125" s="772">
        <f>(M125+Q125)/2</f>
        <v>0</v>
      </c>
      <c r="J125" s="772">
        <f>(N125+R125)/2</f>
        <v>21428446.175000004</v>
      </c>
      <c r="K125" s="772">
        <f>(O125+S125)/2</f>
        <v>48449031.010000005</v>
      </c>
      <c r="L125" s="772"/>
      <c r="M125" s="616"/>
      <c r="N125" s="616">
        <v>20534761.260000002</v>
      </c>
      <c r="O125" s="616">
        <v>47944206.07</v>
      </c>
      <c r="P125" s="772"/>
      <c r="Q125" s="616"/>
      <c r="R125" s="616">
        <v>22322131.090000011</v>
      </c>
      <c r="S125" s="616">
        <v>48953855.95000001</v>
      </c>
    </row>
    <row r="126" spans="1:19">
      <c r="A126" s="790">
        <f>A125+0.01</f>
        <v>11.01</v>
      </c>
      <c r="B126" s="616" t="s">
        <v>983</v>
      </c>
      <c r="C126" s="616">
        <f>-E126</f>
        <v>5779791.21</v>
      </c>
      <c r="D126" s="616">
        <f>-F126</f>
        <v>2888420.3200000003</v>
      </c>
      <c r="E126" s="772">
        <v>-5779791.21</v>
      </c>
      <c r="F126" s="772">
        <v>-2888420.3200000003</v>
      </c>
      <c r="G126" s="772">
        <f>ROUND(SUM(C126:F126)/2,0)</f>
        <v>0</v>
      </c>
      <c r="H126" s="772"/>
      <c r="I126" s="772"/>
      <c r="J126" s="772"/>
      <c r="K126" s="772"/>
      <c r="L126" s="772"/>
      <c r="M126" s="772"/>
      <c r="N126" s="772"/>
      <c r="O126" s="772"/>
      <c r="P126" s="772"/>
      <c r="Q126" s="772"/>
      <c r="R126" s="772"/>
      <c r="S126" s="772"/>
    </row>
    <row r="127" spans="1:19">
      <c r="A127" s="780"/>
      <c r="B127" s="765"/>
      <c r="C127" s="772"/>
      <c r="D127" s="772"/>
      <c r="E127" s="772"/>
      <c r="F127" s="772"/>
      <c r="G127" s="772"/>
      <c r="H127" s="772"/>
      <c r="I127" s="772"/>
      <c r="J127" s="772"/>
      <c r="K127" s="772"/>
      <c r="L127" s="772"/>
      <c r="M127" s="772"/>
      <c r="N127" s="772"/>
      <c r="O127" s="772"/>
      <c r="P127" s="772"/>
      <c r="Q127" s="772"/>
      <c r="R127" s="772"/>
      <c r="S127" s="772"/>
    </row>
    <row r="128" spans="1:19" ht="13.5" thickBot="1">
      <c r="A128" s="780">
        <f>+A125+1</f>
        <v>12</v>
      </c>
      <c r="B128" s="4" t="s">
        <v>724</v>
      </c>
      <c r="C128" s="775">
        <f>SUM(C122:C127)</f>
        <v>158465396.09999999</v>
      </c>
      <c r="D128" s="775">
        <f>SUM(D122:D127)</f>
        <v>164342949.80000001</v>
      </c>
      <c r="E128" s="775">
        <f>SUM(E122:E127)</f>
        <v>-10204825.77</v>
      </c>
      <c r="F128" s="775">
        <f>SUM(F122:F127)</f>
        <v>-508751.36999999918</v>
      </c>
      <c r="G128" s="775">
        <f>SUM(G122:G127)</f>
        <v>156047385</v>
      </c>
      <c r="H128" s="772"/>
      <c r="I128" s="775">
        <f>SUM(I122:I127)</f>
        <v>0</v>
      </c>
      <c r="J128" s="775">
        <f>SUM(J122:J127)</f>
        <v>31589101.750000004</v>
      </c>
      <c r="K128" s="775">
        <f>SUM(K122:K127)</f>
        <v>124458282.62999998</v>
      </c>
      <c r="L128" s="772"/>
      <c r="M128" s="775">
        <f>SUM(M122:M127)</f>
        <v>0</v>
      </c>
      <c r="N128" s="775">
        <f>SUM(N122:N127)</f>
        <v>31805282.910000004</v>
      </c>
      <c r="O128" s="775">
        <f>SUM(O122:O127)</f>
        <v>116455287.41999999</v>
      </c>
      <c r="P128" s="772"/>
      <c r="Q128" s="775">
        <f>SUM(Q122:Q127)</f>
        <v>0</v>
      </c>
      <c r="R128" s="775">
        <f>SUM(R122:R127)</f>
        <v>31372920.590000011</v>
      </c>
      <c r="S128" s="775">
        <f>SUM(S122:S127)</f>
        <v>132461277.83999997</v>
      </c>
    </row>
    <row r="129" spans="1:19" ht="13.5" thickTop="1">
      <c r="A129" s="780">
        <f>A128+1</f>
        <v>13</v>
      </c>
      <c r="B129" s="18" t="s">
        <v>735</v>
      </c>
      <c r="C129" s="776">
        <v>0</v>
      </c>
      <c r="D129" s="776">
        <v>0</v>
      </c>
      <c r="E129" s="776">
        <v>0</v>
      </c>
      <c r="F129" s="776">
        <v>0</v>
      </c>
      <c r="G129" s="776">
        <v>0</v>
      </c>
      <c r="H129" s="772"/>
      <c r="I129" s="776">
        <v>0</v>
      </c>
      <c r="J129" s="776">
        <v>0</v>
      </c>
      <c r="K129" s="776">
        <v>0</v>
      </c>
      <c r="L129" s="772"/>
      <c r="M129" s="776">
        <v>0</v>
      </c>
      <c r="N129" s="776">
        <v>0</v>
      </c>
      <c r="O129" s="776">
        <v>0</v>
      </c>
      <c r="P129" s="772"/>
      <c r="Q129" s="776">
        <v>0</v>
      </c>
      <c r="R129" s="776">
        <v>0</v>
      </c>
      <c r="S129" s="776">
        <v>0</v>
      </c>
    </row>
    <row r="130" spans="1:19">
      <c r="A130" s="780"/>
      <c r="B130" s="765"/>
      <c r="C130" s="772"/>
      <c r="D130" s="772"/>
      <c r="E130" s="772"/>
      <c r="F130" s="772"/>
      <c r="G130" s="772"/>
      <c r="H130" s="772"/>
      <c r="I130" s="772"/>
      <c r="J130" s="772"/>
      <c r="K130" s="772"/>
      <c r="L130" s="772"/>
      <c r="M130" s="772"/>
      <c r="N130" s="772"/>
      <c r="O130" s="772"/>
      <c r="P130" s="772"/>
      <c r="Q130" s="772"/>
      <c r="R130" s="772"/>
      <c r="S130" s="772"/>
    </row>
    <row r="131" spans="1:19">
      <c r="A131" s="780">
        <f>+A129+1</f>
        <v>14</v>
      </c>
      <c r="B131" t="s">
        <v>725</v>
      </c>
      <c r="C131" s="772"/>
      <c r="D131" s="772"/>
      <c r="E131" s="772"/>
      <c r="F131" s="772"/>
      <c r="G131" s="772"/>
      <c r="H131" s="772"/>
      <c r="I131" s="772"/>
      <c r="J131" s="772"/>
      <c r="K131" s="772"/>
      <c r="L131" s="772"/>
      <c r="M131" s="772"/>
      <c r="N131" s="772"/>
      <c r="O131" s="772"/>
      <c r="P131" s="772"/>
      <c r="Q131" s="772"/>
      <c r="R131" s="772"/>
      <c r="S131" s="772"/>
    </row>
    <row r="132" spans="1:19">
      <c r="A132" s="780"/>
      <c r="B132" s="765"/>
      <c r="C132" s="772"/>
      <c r="D132" s="772"/>
      <c r="E132" s="772"/>
      <c r="F132" s="772"/>
      <c r="G132" s="772"/>
      <c r="H132" s="772"/>
      <c r="I132" s="772"/>
      <c r="J132" s="772"/>
      <c r="K132" s="772"/>
      <c r="L132" s="772"/>
      <c r="M132" s="772"/>
      <c r="N132" s="772"/>
      <c r="O132" s="772"/>
      <c r="P132" s="772"/>
      <c r="Q132" s="772"/>
      <c r="R132" s="772"/>
      <c r="S132" s="772"/>
    </row>
    <row r="133" spans="1:19">
      <c r="A133" s="780">
        <f>+A131+1</f>
        <v>15</v>
      </c>
      <c r="B133" t="s">
        <v>726</v>
      </c>
      <c r="C133" s="772"/>
      <c r="D133" s="772"/>
      <c r="E133" s="772"/>
      <c r="F133" s="772"/>
      <c r="G133" s="772"/>
      <c r="H133" s="772"/>
      <c r="I133" s="772"/>
      <c r="J133" s="772"/>
      <c r="K133" s="772"/>
      <c r="L133" s="772"/>
      <c r="M133" s="772"/>
      <c r="N133" s="772"/>
      <c r="O133" s="772"/>
      <c r="P133" s="772"/>
      <c r="Q133" s="772"/>
      <c r="R133" s="772"/>
      <c r="S133" s="772"/>
    </row>
    <row r="134" spans="1:19">
      <c r="A134" s="780"/>
      <c r="B134" s="765"/>
      <c r="C134" s="772"/>
      <c r="D134" s="778"/>
      <c r="E134" s="778"/>
      <c r="F134" s="778"/>
      <c r="G134" s="778"/>
      <c r="H134" s="778"/>
      <c r="I134" s="778"/>
      <c r="J134" s="778"/>
      <c r="K134" s="778"/>
      <c r="L134" s="778"/>
      <c r="M134" s="772"/>
      <c r="N134" s="772"/>
      <c r="O134" s="772"/>
      <c r="P134" s="772"/>
      <c r="Q134" s="772"/>
      <c r="R134" s="772"/>
      <c r="S134" s="772"/>
    </row>
    <row r="135" spans="1:19">
      <c r="A135" s="780">
        <f>+A133+1</f>
        <v>16</v>
      </c>
      <c r="B135" t="s">
        <v>727</v>
      </c>
      <c r="C135" s="772"/>
      <c r="D135" s="778"/>
      <c r="E135" s="778"/>
      <c r="F135" s="778"/>
      <c r="G135" s="778"/>
      <c r="H135" s="778"/>
      <c r="I135" s="778"/>
      <c r="J135" s="778"/>
      <c r="K135" s="778"/>
      <c r="L135" s="778"/>
      <c r="M135" s="772"/>
      <c r="N135" s="772"/>
      <c r="O135" s="772"/>
      <c r="P135" s="772"/>
      <c r="Q135" s="772"/>
      <c r="R135" s="772"/>
      <c r="S135" s="772"/>
    </row>
    <row r="136" spans="1:19">
      <c r="A136" s="780"/>
      <c r="B136" s="765"/>
      <c r="C136" s="772"/>
      <c r="D136" s="772"/>
      <c r="E136" s="772"/>
      <c r="F136" s="772"/>
      <c r="G136" s="772"/>
      <c r="H136" s="772"/>
      <c r="I136" s="772"/>
      <c r="J136" s="772"/>
      <c r="K136" s="772"/>
      <c r="L136" s="772"/>
      <c r="M136" s="772"/>
      <c r="N136" s="772"/>
      <c r="O136" s="772"/>
      <c r="P136" s="772"/>
      <c r="Q136" s="772"/>
      <c r="R136" s="772"/>
      <c r="S136" s="772"/>
    </row>
    <row r="137" spans="1:19">
      <c r="A137" s="780">
        <f>+A135+1</f>
        <v>17</v>
      </c>
      <c r="B137" t="s">
        <v>728</v>
      </c>
      <c r="C137" s="772"/>
      <c r="D137" s="772"/>
      <c r="E137" s="772"/>
      <c r="F137" s="772"/>
      <c r="G137" s="772"/>
      <c r="H137" s="772"/>
      <c r="I137" s="772"/>
      <c r="J137" s="772"/>
      <c r="K137" s="772"/>
      <c r="L137" s="772"/>
      <c r="M137" s="772"/>
      <c r="N137" s="772"/>
      <c r="O137" s="772"/>
      <c r="P137" s="772"/>
      <c r="Q137" s="772"/>
      <c r="R137" s="772"/>
      <c r="S137" s="772"/>
    </row>
    <row r="138" spans="1:19">
      <c r="A138" s="780">
        <f>A137+1</f>
        <v>18</v>
      </c>
      <c r="B138" t="s">
        <v>729</v>
      </c>
      <c r="C138" s="772"/>
      <c r="D138" s="772"/>
      <c r="E138" s="772"/>
      <c r="F138" s="772"/>
      <c r="G138" s="772"/>
      <c r="H138" s="772"/>
      <c r="I138" s="772"/>
      <c r="J138" s="772"/>
      <c r="K138" s="772"/>
      <c r="L138" s="772"/>
      <c r="M138" s="772"/>
      <c r="N138" s="772"/>
      <c r="O138" s="772"/>
      <c r="P138" s="772"/>
      <c r="Q138" s="982"/>
      <c r="R138" s="772"/>
      <c r="S138" s="772"/>
    </row>
    <row r="139" spans="1:19">
      <c r="A139" s="790">
        <f>A138+0.01</f>
        <v>18.010000000000002</v>
      </c>
      <c r="B139" s="616" t="s">
        <v>984</v>
      </c>
      <c r="C139" s="772">
        <f>SUM(M139:O139)</f>
        <v>0</v>
      </c>
      <c r="D139" s="772">
        <f>SUM(Q139:S139)</f>
        <v>0</v>
      </c>
      <c r="E139" s="772"/>
      <c r="F139" s="772"/>
      <c r="G139" s="772">
        <f>ROUND(SUM(C139:F139)/2,0)</f>
        <v>0</v>
      </c>
      <c r="H139" s="772"/>
      <c r="I139" s="772">
        <f t="shared" ref="I139:K140" si="59">(M139+Q139)/2</f>
        <v>0</v>
      </c>
      <c r="J139" s="772">
        <f t="shared" si="59"/>
        <v>0</v>
      </c>
      <c r="K139" s="772">
        <f t="shared" si="59"/>
        <v>0</v>
      </c>
      <c r="L139" s="772"/>
      <c r="M139" s="616">
        <v>0</v>
      </c>
      <c r="N139" s="616">
        <v>0</v>
      </c>
      <c r="O139" s="616">
        <v>0</v>
      </c>
      <c r="P139" s="772"/>
      <c r="Q139" s="616">
        <v>0</v>
      </c>
      <c r="R139" s="616">
        <v>0</v>
      </c>
      <c r="S139" s="616">
        <v>0</v>
      </c>
    </row>
    <row r="140" spans="1:19">
      <c r="A140" s="790">
        <f>A139+0.01</f>
        <v>18.020000000000003</v>
      </c>
      <c r="B140" s="616"/>
      <c r="C140" s="772">
        <f>SUM(M140:O140)</f>
        <v>0</v>
      </c>
      <c r="D140" s="772">
        <f>SUM(Q140:S140)</f>
        <v>0</v>
      </c>
      <c r="E140" s="772"/>
      <c r="F140" s="772"/>
      <c r="G140" s="772">
        <f>ROUND(SUM(C140:F140)/2,0)</f>
        <v>0</v>
      </c>
      <c r="H140" s="772"/>
      <c r="I140" s="772">
        <f t="shared" si="59"/>
        <v>0</v>
      </c>
      <c r="J140" s="772">
        <f t="shared" si="59"/>
        <v>0</v>
      </c>
      <c r="K140" s="772">
        <f t="shared" si="59"/>
        <v>0</v>
      </c>
      <c r="L140" s="772"/>
      <c r="M140" s="616"/>
      <c r="N140" s="616"/>
      <c r="O140" s="616"/>
      <c r="P140" s="772"/>
      <c r="Q140" s="616"/>
      <c r="R140" s="616"/>
      <c r="S140" s="616"/>
    </row>
    <row r="141" spans="1:19">
      <c r="A141" s="780">
        <f>INT(A140)+1</f>
        <v>19</v>
      </c>
      <c r="C141" s="772"/>
      <c r="D141" s="772"/>
      <c r="E141" s="772"/>
      <c r="F141" s="772"/>
      <c r="G141" s="772"/>
      <c r="H141" s="772"/>
      <c r="I141" s="772"/>
      <c r="J141" s="772"/>
      <c r="K141" s="772"/>
      <c r="L141" s="772"/>
      <c r="M141" s="772"/>
      <c r="N141" s="772"/>
      <c r="O141" s="772"/>
      <c r="P141" s="772"/>
      <c r="Q141" s="772"/>
      <c r="R141" s="772"/>
      <c r="S141" s="772"/>
    </row>
    <row r="142" spans="1:19">
      <c r="A142" s="780">
        <f>A141+1</f>
        <v>20</v>
      </c>
      <c r="B142" t="s">
        <v>730</v>
      </c>
      <c r="C142" s="775">
        <f>SUM(C139:C141)</f>
        <v>0</v>
      </c>
      <c r="D142" s="775">
        <f>SUM(D139:D141)</f>
        <v>0</v>
      </c>
      <c r="E142" s="775">
        <f>SUM(E139:E141)</f>
        <v>0</v>
      </c>
      <c r="F142" s="775">
        <f>SUM(F139:F141)</f>
        <v>0</v>
      </c>
      <c r="G142" s="775">
        <f>SUM(G139:G141)</f>
        <v>0</v>
      </c>
      <c r="H142" s="772"/>
      <c r="I142" s="775">
        <f>SUM(I139:I141)</f>
        <v>0</v>
      </c>
      <c r="J142" s="775">
        <f>SUM(J139:J141)</f>
        <v>0</v>
      </c>
      <c r="K142" s="775">
        <f>SUM(K139:K141)</f>
        <v>0</v>
      </c>
      <c r="L142" s="772"/>
      <c r="M142" s="775">
        <f>SUM(M139:M141)</f>
        <v>0</v>
      </c>
      <c r="N142" s="775">
        <f>SUM(N139:N141)</f>
        <v>0</v>
      </c>
      <c r="O142" s="775">
        <f>SUM(O139:O141)</f>
        <v>0</v>
      </c>
      <c r="P142" s="772"/>
      <c r="Q142" s="775">
        <f>SUM(Q139:Q141)</f>
        <v>0</v>
      </c>
      <c r="R142" s="775">
        <f>SUM(R139:R141)</f>
        <v>0</v>
      </c>
      <c r="S142" s="775">
        <f>SUM(S139:S141)</f>
        <v>0</v>
      </c>
    </row>
  </sheetData>
  <pageMargins left="0.7" right="0.7" top="0.75" bottom="0.75" header="0.3" footer="0.3"/>
  <pageSetup scale="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V181"/>
  <sheetViews>
    <sheetView tabSelected="1" view="pageBreakPreview" topLeftCell="A94" zoomScale="85" zoomScaleNormal="100" zoomScaleSheetLayoutView="85" workbookViewId="0">
      <selection activeCell="D11" sqref="D11"/>
    </sheetView>
  </sheetViews>
  <sheetFormatPr defaultRowHeight="12.75"/>
  <cols>
    <col min="1" max="1" width="7" bestFit="1" customWidth="1"/>
    <col min="2" max="2" width="54.5703125" bestFit="1" customWidth="1"/>
    <col min="3" max="3" width="13.42578125" bestFit="1" customWidth="1"/>
    <col min="4" max="4" width="12.85546875" bestFit="1" customWidth="1"/>
    <col min="5" max="6" width="17" customWidth="1"/>
    <col min="7" max="7" width="15.42578125" bestFit="1" customWidth="1"/>
    <col min="8" max="8" width="3" customWidth="1"/>
    <col min="9" max="9" width="13.140625" bestFit="1" customWidth="1"/>
    <col min="10" max="10" width="15" bestFit="1" customWidth="1"/>
    <col min="11" max="11" width="13.5703125" bestFit="1" customWidth="1"/>
    <col min="12" max="12" width="3.85546875" customWidth="1"/>
    <col min="13" max="13" width="13.140625" bestFit="1" customWidth="1"/>
    <col min="14" max="14" width="15" bestFit="1" customWidth="1"/>
    <col min="15" max="15" width="13.5703125" bestFit="1" customWidth="1"/>
    <col min="16" max="16" width="3.42578125" customWidth="1"/>
    <col min="17" max="17" width="13.140625" bestFit="1" customWidth="1"/>
    <col min="18" max="18" width="15" bestFit="1" customWidth="1"/>
    <col min="19" max="19" width="13.5703125" bestFit="1" customWidth="1"/>
  </cols>
  <sheetData>
    <row r="1" spans="1:19">
      <c r="A1" s="781"/>
      <c r="B1" s="818" t="str">
        <f>TCOS!F9</f>
        <v>Ohio Power Company</v>
      </c>
      <c r="C1" s="765"/>
      <c r="D1" s="765"/>
      <c r="E1" s="765"/>
      <c r="F1" s="765"/>
      <c r="M1" s="765"/>
      <c r="N1" s="765"/>
      <c r="P1" s="765"/>
      <c r="Q1" s="765"/>
      <c r="R1" s="765"/>
    </row>
    <row r="2" spans="1:19">
      <c r="A2" s="781"/>
      <c r="B2" s="170" t="s">
        <v>812</v>
      </c>
      <c r="C2" s="765"/>
      <c r="D2" s="765"/>
      <c r="E2" s="765"/>
      <c r="F2" s="765"/>
      <c r="M2" s="765"/>
      <c r="N2" s="765"/>
      <c r="P2" s="765"/>
      <c r="Q2" s="765"/>
      <c r="R2" s="765"/>
    </row>
    <row r="3" spans="1:19">
      <c r="A3" s="781"/>
      <c r="B3" s="170" t="str">
        <f>"PERIOD ENDED DECEMBER 31, "&amp;TCOS!L4</f>
        <v>PERIOD ENDED DECEMBER 31, 2025</v>
      </c>
      <c r="C3" s="765"/>
      <c r="D3" s="765"/>
      <c r="E3" s="765"/>
      <c r="F3" s="765"/>
      <c r="G3" s="765"/>
      <c r="H3" s="765"/>
      <c r="I3" s="765"/>
      <c r="J3" s="765"/>
      <c r="K3" s="765"/>
      <c r="L3" s="765"/>
      <c r="M3" s="765"/>
      <c r="N3" s="765"/>
      <c r="O3" s="765"/>
      <c r="P3" s="765"/>
      <c r="Q3" s="765"/>
      <c r="R3" s="765"/>
      <c r="S3" s="765"/>
    </row>
    <row r="4" spans="1:19">
      <c r="A4" s="781"/>
      <c r="B4" s="771"/>
      <c r="C4" s="765"/>
      <c r="D4" s="765"/>
      <c r="E4" s="765"/>
      <c r="F4" s="765"/>
      <c r="G4" s="1" t="s">
        <v>731</v>
      </c>
      <c r="H4" s="765"/>
      <c r="I4" s="765"/>
      <c r="J4" s="765"/>
      <c r="K4" s="765"/>
      <c r="L4" s="765"/>
      <c r="M4" s="765"/>
      <c r="N4" s="765"/>
      <c r="O4" s="765"/>
      <c r="P4" s="765"/>
      <c r="Q4" s="765"/>
      <c r="R4" s="765"/>
      <c r="S4" s="765"/>
    </row>
    <row r="5" spans="1:19">
      <c r="A5" s="781"/>
      <c r="B5" s="765"/>
      <c r="C5" s="765"/>
      <c r="D5" s="765"/>
      <c r="E5" s="765"/>
      <c r="F5" s="765"/>
      <c r="G5" s="765"/>
      <c r="H5" s="765"/>
      <c r="I5" s="765"/>
      <c r="J5" s="765"/>
      <c r="K5" s="765"/>
      <c r="L5" s="765"/>
      <c r="M5" s="765"/>
      <c r="N5" s="765"/>
      <c r="O5" s="765"/>
      <c r="P5" s="765"/>
      <c r="Q5" s="765"/>
      <c r="R5" s="765"/>
      <c r="S5" s="765"/>
    </row>
    <row r="6" spans="1:19">
      <c r="A6" s="781"/>
      <c r="B6" s="765"/>
      <c r="C6" s="765"/>
      <c r="D6" s="765"/>
      <c r="E6" s="765"/>
      <c r="F6" s="765"/>
      <c r="G6" s="765"/>
      <c r="H6" s="1"/>
      <c r="I6" s="1"/>
      <c r="J6" s="1"/>
      <c r="K6" s="1"/>
      <c r="L6" s="1"/>
      <c r="M6" s="765"/>
      <c r="N6" s="765"/>
      <c r="O6" s="765"/>
      <c r="P6" s="765"/>
      <c r="Q6" s="765"/>
      <c r="R6" s="765"/>
      <c r="S6" s="765"/>
    </row>
    <row r="7" spans="1:19">
      <c r="A7" s="781"/>
      <c r="B7" s="765"/>
      <c r="C7" s="765"/>
      <c r="D7" s="765"/>
      <c r="E7" s="765"/>
      <c r="F7" s="765"/>
      <c r="G7" s="765"/>
      <c r="H7" s="765"/>
      <c r="I7" s="765"/>
      <c r="J7" s="765"/>
      <c r="K7" s="765"/>
      <c r="L7" s="765"/>
      <c r="M7" s="765"/>
      <c r="N7" s="765"/>
      <c r="O7" s="765"/>
      <c r="P7" s="765"/>
      <c r="Q7" s="765"/>
      <c r="R7" s="765"/>
      <c r="S7" s="765"/>
    </row>
    <row r="8" spans="1:19">
      <c r="A8" s="781"/>
      <c r="B8" s="766" t="s">
        <v>691</v>
      </c>
      <c r="C8" s="766" t="s">
        <v>692</v>
      </c>
      <c r="D8" s="766" t="s">
        <v>693</v>
      </c>
      <c r="E8" s="766" t="s">
        <v>694</v>
      </c>
      <c r="F8" s="766" t="s">
        <v>695</v>
      </c>
      <c r="G8" s="766" t="s">
        <v>696</v>
      </c>
      <c r="H8" s="766"/>
      <c r="I8" s="766" t="s">
        <v>697</v>
      </c>
      <c r="J8" s="766" t="s">
        <v>698</v>
      </c>
      <c r="K8" s="766" t="s">
        <v>699</v>
      </c>
      <c r="L8" s="766"/>
      <c r="M8" s="766" t="s">
        <v>700</v>
      </c>
      <c r="N8" s="766" t="s">
        <v>701</v>
      </c>
      <c r="O8" s="766" t="s">
        <v>702</v>
      </c>
      <c r="P8" s="765"/>
      <c r="Q8" s="766" t="s">
        <v>703</v>
      </c>
      <c r="R8" s="766" t="s">
        <v>704</v>
      </c>
      <c r="S8" s="766" t="s">
        <v>705</v>
      </c>
    </row>
    <row r="9" spans="1:19">
      <c r="A9" s="781"/>
      <c r="B9" s="765"/>
      <c r="C9" s="765"/>
      <c r="D9" s="765"/>
      <c r="E9" s="765"/>
      <c r="F9" s="765"/>
      <c r="G9" s="765"/>
      <c r="H9" s="765"/>
      <c r="I9" s="765"/>
      <c r="J9" s="765"/>
      <c r="K9" s="765"/>
      <c r="L9" s="765"/>
      <c r="M9" s="765"/>
      <c r="N9" s="765"/>
      <c r="O9" s="765"/>
      <c r="P9" s="765"/>
      <c r="Q9" s="765"/>
      <c r="R9" s="765"/>
      <c r="S9" s="765"/>
    </row>
    <row r="10" spans="1:19">
      <c r="A10" s="781"/>
      <c r="B10" s="765"/>
      <c r="C10" s="767" t="s">
        <v>706</v>
      </c>
      <c r="D10" s="767"/>
      <c r="E10" s="768" t="s">
        <v>707</v>
      </c>
      <c r="F10" s="767"/>
      <c r="G10" s="1" t="s">
        <v>708</v>
      </c>
      <c r="H10" s="1"/>
      <c r="I10" s="767" t="s">
        <v>709</v>
      </c>
      <c r="J10" s="767"/>
      <c r="K10" s="767"/>
      <c r="L10" s="1"/>
      <c r="M10" s="769" t="str">
        <f>"FUNCTIONALIZATION 12/31/"&amp;TCOS!L4-1</f>
        <v>FUNCTIONALIZATION 12/31/2024</v>
      </c>
      <c r="N10" s="767"/>
      <c r="O10" s="767"/>
      <c r="P10" s="765"/>
      <c r="Q10" s="769" t="str">
        <f>"FUNCTIONALIZATION 12/31/"&amp;TCOS!L4</f>
        <v>FUNCTIONALIZATION 12/31/2025</v>
      </c>
      <c r="R10" s="767"/>
      <c r="S10" s="767"/>
    </row>
    <row r="11" spans="1:19">
      <c r="A11" s="781"/>
      <c r="B11" s="765"/>
      <c r="C11" s="770"/>
      <c r="D11" s="770"/>
      <c r="E11" s="765"/>
      <c r="F11" s="765"/>
      <c r="G11" s="1" t="s">
        <v>710</v>
      </c>
      <c r="H11" s="1"/>
      <c r="I11" s="770"/>
      <c r="J11" s="770"/>
      <c r="K11" s="770"/>
      <c r="L11" s="1"/>
      <c r="M11" s="770"/>
      <c r="N11" s="770"/>
      <c r="O11" s="770"/>
      <c r="P11" s="765"/>
      <c r="Q11" s="770"/>
      <c r="R11" s="770"/>
      <c r="S11" s="770"/>
    </row>
    <row r="12" spans="1:19">
      <c r="A12" s="781"/>
      <c r="B12" s="765"/>
      <c r="C12" s="1" t="s">
        <v>711</v>
      </c>
      <c r="D12" s="1" t="s">
        <v>711</v>
      </c>
      <c r="E12" s="1" t="s">
        <v>711</v>
      </c>
      <c r="F12" s="1" t="s">
        <v>711</v>
      </c>
      <c r="G12" s="1" t="s">
        <v>712</v>
      </c>
      <c r="H12" s="1"/>
      <c r="I12" s="765"/>
      <c r="J12" s="765"/>
      <c r="K12" s="765"/>
      <c r="L12" s="1"/>
      <c r="M12" s="765"/>
      <c r="N12" s="765"/>
      <c r="O12" s="765"/>
      <c r="P12" s="765"/>
      <c r="Q12" s="765"/>
      <c r="R12" s="765"/>
      <c r="S12" s="765"/>
    </row>
    <row r="13" spans="1:19">
      <c r="A13" s="781"/>
      <c r="B13" s="766" t="s">
        <v>713</v>
      </c>
      <c r="C13" s="766" t="str">
        <f>"OF 12-31-"&amp;TCOS!L4-1</f>
        <v>OF 12-31-2024</v>
      </c>
      <c r="D13" s="766" t="str">
        <f>"OF 12-31-"&amp;TCOS!L4</f>
        <v>OF 12-31-2025</v>
      </c>
      <c r="E13" s="766" t="str">
        <f>"OF 12-31-"&amp;TCOS!L4-1</f>
        <v>OF 12-31-2024</v>
      </c>
      <c r="F13" s="766" t="str">
        <f>"OF 12-31-"&amp;TCOS!L4</f>
        <v>OF 12-31-2025</v>
      </c>
      <c r="G13" s="766" t="s">
        <v>714</v>
      </c>
      <c r="H13" s="766"/>
      <c r="I13" s="766" t="s">
        <v>715</v>
      </c>
      <c r="J13" s="766" t="s">
        <v>716</v>
      </c>
      <c r="K13" s="766" t="s">
        <v>717</v>
      </c>
      <c r="L13" s="766"/>
      <c r="M13" s="766" t="s">
        <v>715</v>
      </c>
      <c r="N13" s="766" t="s">
        <v>716</v>
      </c>
      <c r="O13" s="766" t="s">
        <v>717</v>
      </c>
      <c r="P13" s="765"/>
      <c r="Q13" s="766" t="s">
        <v>715</v>
      </c>
      <c r="R13" s="766" t="s">
        <v>716</v>
      </c>
      <c r="S13" s="766" t="s">
        <v>717</v>
      </c>
    </row>
    <row r="14" spans="1:19">
      <c r="A14" s="781"/>
      <c r="B14" s="765"/>
      <c r="C14" s="765"/>
      <c r="D14" s="765"/>
      <c r="E14" s="765"/>
      <c r="F14" s="765"/>
      <c r="G14" s="765"/>
      <c r="H14" s="765"/>
      <c r="I14" s="765"/>
      <c r="J14" s="765"/>
      <c r="K14" s="765"/>
      <c r="L14" s="765"/>
      <c r="M14" s="765"/>
      <c r="N14" s="765"/>
      <c r="O14" s="765"/>
      <c r="P14" s="765"/>
      <c r="Q14" s="765"/>
      <c r="R14" s="765"/>
      <c r="S14" s="765"/>
    </row>
    <row r="15" spans="1:19">
      <c r="A15" s="137">
        <v>1</v>
      </c>
      <c r="B15" s="772" t="s">
        <v>732</v>
      </c>
      <c r="C15" s="772"/>
      <c r="D15" s="772"/>
      <c r="E15" s="772"/>
      <c r="F15" s="773"/>
      <c r="G15" s="772"/>
      <c r="H15" s="772"/>
      <c r="I15" s="772"/>
      <c r="J15" s="772"/>
      <c r="K15" s="772"/>
      <c r="L15" s="772"/>
      <c r="M15" s="772"/>
      <c r="N15" s="772"/>
      <c r="O15" s="772"/>
      <c r="P15" s="772"/>
      <c r="Q15" s="772"/>
      <c r="R15" s="772"/>
      <c r="S15" s="772"/>
    </row>
    <row r="16" spans="1:19">
      <c r="A16" s="137"/>
      <c r="B16" s="772"/>
      <c r="C16" s="772"/>
      <c r="D16" s="772"/>
      <c r="E16" s="772"/>
      <c r="F16" s="772"/>
      <c r="G16" s="772"/>
      <c r="H16" s="772"/>
      <c r="I16" s="772"/>
      <c r="J16" s="772"/>
      <c r="K16" s="772"/>
      <c r="L16" s="772"/>
      <c r="M16" s="772"/>
      <c r="N16" s="772"/>
      <c r="O16" s="772"/>
      <c r="P16" s="772"/>
      <c r="Q16" s="772"/>
      <c r="R16" s="772"/>
      <c r="S16" s="772"/>
    </row>
    <row r="17" spans="1:19">
      <c r="A17" s="790">
        <f>2+0.01</f>
        <v>2.0099999999999998</v>
      </c>
      <c r="B17" s="616" t="s">
        <v>1199</v>
      </c>
      <c r="C17" s="772">
        <f t="shared" ref="C17:C81" si="0">SUM(M17:O17)</f>
        <v>-1166235</v>
      </c>
      <c r="D17" s="772">
        <f t="shared" ref="D17:D81" si="1">SUM(Q17:S17)</f>
        <v>-1166235</v>
      </c>
      <c r="E17" s="772"/>
      <c r="F17" s="772"/>
      <c r="G17" s="772">
        <f t="shared" ref="G17:G81" si="2">ROUND(SUM(C17:F17)/2,0)</f>
        <v>-1166235</v>
      </c>
      <c r="H17" s="772"/>
      <c r="I17" s="772">
        <f t="shared" ref="I17:I81" si="3">(M17+Q17)/2</f>
        <v>0</v>
      </c>
      <c r="J17" s="772">
        <f t="shared" ref="J17:J81" si="4">(N17+R17)/2</f>
        <v>-254986</v>
      </c>
      <c r="K17" s="772">
        <f t="shared" ref="K17:K81" si="5">(O17+S17)/2</f>
        <v>-911249</v>
      </c>
      <c r="L17" s="772"/>
      <c r="M17" s="616"/>
      <c r="N17" s="616">
        <v>-254986</v>
      </c>
      <c r="O17" s="616">
        <v>-911249</v>
      </c>
      <c r="P17" s="772"/>
      <c r="Q17" s="616"/>
      <c r="R17" s="616">
        <v>-254986</v>
      </c>
      <c r="S17" s="616">
        <v>-911249</v>
      </c>
    </row>
    <row r="18" spans="1:19">
      <c r="A18" s="790">
        <f t="shared" ref="A18:A122" si="6">A17+0.01</f>
        <v>2.0199999999999996</v>
      </c>
      <c r="B18" s="616" t="s">
        <v>1367</v>
      </c>
      <c r="C18" s="772">
        <f t="shared" ref="C18" si="7">SUM(M18:O18)</f>
        <v>0</v>
      </c>
      <c r="D18" s="772">
        <f t="shared" ref="D18" si="8">SUM(Q18:S18)</f>
        <v>11491040</v>
      </c>
      <c r="E18" s="772"/>
      <c r="F18" s="772"/>
      <c r="G18" s="772">
        <f t="shared" ref="G18" si="9">ROUND(SUM(C18:F18)/2,0)</f>
        <v>5745520</v>
      </c>
      <c r="H18" s="772"/>
      <c r="I18" s="772">
        <f t="shared" ref="I18" si="10">(M18+Q18)/2</f>
        <v>0</v>
      </c>
      <c r="J18" s="772">
        <f t="shared" ref="J18" si="11">(N18+R18)/2</f>
        <v>26697</v>
      </c>
      <c r="K18" s="772">
        <f t="shared" ref="K18" si="12">(O18+S18)/2</f>
        <v>5718823</v>
      </c>
      <c r="L18" s="772"/>
      <c r="M18" s="616"/>
      <c r="N18" s="616"/>
      <c r="O18" s="616"/>
      <c r="P18" s="772"/>
      <c r="Q18" s="616"/>
      <c r="R18" s="616">
        <v>53394</v>
      </c>
      <c r="S18" s="616">
        <v>11437646</v>
      </c>
    </row>
    <row r="19" spans="1:19">
      <c r="A19" s="790">
        <f t="shared" si="6"/>
        <v>2.0299999999999994</v>
      </c>
      <c r="B19" s="616" t="s">
        <v>1200</v>
      </c>
      <c r="C19" s="772">
        <f t="shared" si="0"/>
        <v>3966.25</v>
      </c>
      <c r="D19" s="772">
        <f t="shared" si="1"/>
        <v>0.25</v>
      </c>
      <c r="E19" s="772"/>
      <c r="F19" s="772"/>
      <c r="G19" s="772">
        <f t="shared" si="2"/>
        <v>1983</v>
      </c>
      <c r="H19" s="772"/>
      <c r="I19" s="772">
        <f t="shared" si="3"/>
        <v>0</v>
      </c>
      <c r="J19" s="772">
        <f t="shared" si="4"/>
        <v>0.32500000000000001</v>
      </c>
      <c r="K19" s="772">
        <f t="shared" si="5"/>
        <v>1982.925</v>
      </c>
      <c r="L19" s="772"/>
      <c r="M19" s="616"/>
      <c r="N19" s="616">
        <v>0.4</v>
      </c>
      <c r="O19" s="616">
        <v>3965.85</v>
      </c>
      <c r="P19" s="772"/>
      <c r="Q19" s="616"/>
      <c r="R19" s="616">
        <v>0.25</v>
      </c>
      <c r="S19" s="616"/>
    </row>
    <row r="20" spans="1:19">
      <c r="A20" s="790">
        <f t="shared" si="6"/>
        <v>2.0399999999999991</v>
      </c>
      <c r="B20" s="616" t="s">
        <v>1201</v>
      </c>
      <c r="C20" s="772">
        <f t="shared" si="0"/>
        <v>38504013.770000003</v>
      </c>
      <c r="D20" s="772">
        <f t="shared" si="1"/>
        <v>42519254.009999998</v>
      </c>
      <c r="E20" s="772"/>
      <c r="F20" s="772"/>
      <c r="G20" s="772">
        <f t="shared" si="2"/>
        <v>40511634</v>
      </c>
      <c r="H20" s="772"/>
      <c r="I20" s="772">
        <f t="shared" si="3"/>
        <v>0</v>
      </c>
      <c r="J20" s="772">
        <f t="shared" si="4"/>
        <v>8863169.8550000004</v>
      </c>
      <c r="K20" s="772">
        <f t="shared" si="5"/>
        <v>31648464.035</v>
      </c>
      <c r="L20" s="772"/>
      <c r="M20" s="616"/>
      <c r="N20" s="616">
        <v>11395825.67</v>
      </c>
      <c r="O20" s="616">
        <v>27108188.100000001</v>
      </c>
      <c r="P20" s="772"/>
      <c r="Q20" s="616"/>
      <c r="R20" s="616">
        <v>6330514.04</v>
      </c>
      <c r="S20" s="616">
        <v>36188739.969999999</v>
      </c>
    </row>
    <row r="21" spans="1:19">
      <c r="A21" s="790">
        <f t="shared" si="6"/>
        <v>2.0499999999999989</v>
      </c>
      <c r="B21" s="616" t="s">
        <v>1202</v>
      </c>
      <c r="C21" s="772">
        <f t="shared" si="0"/>
        <v>0</v>
      </c>
      <c r="D21" s="772">
        <f t="shared" si="1"/>
        <v>0</v>
      </c>
      <c r="E21" s="772"/>
      <c r="F21" s="772"/>
      <c r="G21" s="772">
        <f t="shared" si="2"/>
        <v>0</v>
      </c>
      <c r="H21" s="772"/>
      <c r="I21" s="772">
        <f t="shared" si="3"/>
        <v>0</v>
      </c>
      <c r="J21" s="772">
        <f t="shared" si="4"/>
        <v>0</v>
      </c>
      <c r="K21" s="772">
        <f t="shared" si="5"/>
        <v>0</v>
      </c>
      <c r="L21" s="772"/>
      <c r="M21" s="616"/>
      <c r="N21" s="616">
        <v>0</v>
      </c>
      <c r="O21" s="616">
        <v>0</v>
      </c>
      <c r="P21" s="772"/>
      <c r="Q21" s="616"/>
      <c r="R21" s="616"/>
      <c r="S21" s="616"/>
    </row>
    <row r="22" spans="1:19">
      <c r="A22" s="790">
        <f t="shared" si="6"/>
        <v>2.0599999999999987</v>
      </c>
      <c r="B22" s="616" t="s">
        <v>1203</v>
      </c>
      <c r="C22" s="772">
        <f t="shared" si="0"/>
        <v>0</v>
      </c>
      <c r="D22" s="772">
        <f t="shared" si="1"/>
        <v>0</v>
      </c>
      <c r="E22" s="772"/>
      <c r="F22" s="772"/>
      <c r="G22" s="772">
        <f t="shared" si="2"/>
        <v>0</v>
      </c>
      <c r="H22" s="772"/>
      <c r="I22" s="772">
        <f t="shared" si="3"/>
        <v>0</v>
      </c>
      <c r="J22" s="772">
        <f t="shared" si="4"/>
        <v>0</v>
      </c>
      <c r="K22" s="772">
        <f t="shared" si="5"/>
        <v>0</v>
      </c>
      <c r="L22" s="772"/>
      <c r="M22" s="616"/>
      <c r="N22" s="616">
        <v>0</v>
      </c>
      <c r="O22" s="616">
        <v>0</v>
      </c>
      <c r="P22" s="772"/>
      <c r="Q22" s="616"/>
      <c r="R22" s="616"/>
      <c r="S22" s="616"/>
    </row>
    <row r="23" spans="1:19">
      <c r="A23" s="790">
        <f t="shared" si="6"/>
        <v>2.0699999999999985</v>
      </c>
      <c r="B23" s="616" t="s">
        <v>1204</v>
      </c>
      <c r="C23" s="772">
        <f t="shared" si="0"/>
        <v>-205746.45</v>
      </c>
      <c r="D23" s="772">
        <f t="shared" si="1"/>
        <v>0</v>
      </c>
      <c r="E23" s="772"/>
      <c r="F23" s="772"/>
      <c r="G23" s="772">
        <f t="shared" si="2"/>
        <v>-102873</v>
      </c>
      <c r="H23" s="772"/>
      <c r="I23" s="772">
        <f t="shared" si="3"/>
        <v>0</v>
      </c>
      <c r="J23" s="772">
        <f t="shared" si="4"/>
        <v>-102873.22500000001</v>
      </c>
      <c r="K23" s="772">
        <f t="shared" si="5"/>
        <v>0</v>
      </c>
      <c r="L23" s="772"/>
      <c r="M23" s="616"/>
      <c r="N23" s="616">
        <v>-205746.45</v>
      </c>
      <c r="O23" s="616"/>
      <c r="P23" s="772"/>
      <c r="Q23" s="616"/>
      <c r="R23" s="616"/>
      <c r="S23" s="616"/>
    </row>
    <row r="24" spans="1:19">
      <c r="A24" s="790">
        <f t="shared" si="6"/>
        <v>2.0799999999999983</v>
      </c>
      <c r="B24" s="616" t="s">
        <v>1205</v>
      </c>
      <c r="C24" s="772">
        <f t="shared" si="0"/>
        <v>2058707.7</v>
      </c>
      <c r="D24" s="772">
        <f t="shared" si="1"/>
        <v>1736136.7800000003</v>
      </c>
      <c r="E24" s="772"/>
      <c r="F24" s="772"/>
      <c r="G24" s="772">
        <f t="shared" si="2"/>
        <v>1897422</v>
      </c>
      <c r="H24" s="772"/>
      <c r="I24" s="772">
        <f t="shared" si="3"/>
        <v>0</v>
      </c>
      <c r="J24" s="772">
        <f t="shared" si="4"/>
        <v>589562.71500000008</v>
      </c>
      <c r="K24" s="772">
        <f t="shared" si="5"/>
        <v>1307859.5249999999</v>
      </c>
      <c r="L24" s="772"/>
      <c r="M24" s="616"/>
      <c r="N24" s="616">
        <v>643231.26</v>
      </c>
      <c r="O24" s="616">
        <v>1415476.44</v>
      </c>
      <c r="P24" s="772"/>
      <c r="Q24" s="616"/>
      <c r="R24" s="616">
        <v>535894.17000000004</v>
      </c>
      <c r="S24" s="616">
        <v>1200242.6100000001</v>
      </c>
    </row>
    <row r="25" spans="1:19">
      <c r="A25" s="790">
        <f t="shared" si="6"/>
        <v>2.0899999999999981</v>
      </c>
      <c r="B25" s="616" t="s">
        <v>1206</v>
      </c>
      <c r="C25" s="772">
        <f t="shared" si="0"/>
        <v>0</v>
      </c>
      <c r="D25" s="772">
        <f t="shared" si="1"/>
        <v>0</v>
      </c>
      <c r="E25" s="772"/>
      <c r="F25" s="772"/>
      <c r="G25" s="772">
        <f t="shared" si="2"/>
        <v>0</v>
      </c>
      <c r="H25" s="772"/>
      <c r="I25" s="772">
        <f t="shared" si="3"/>
        <v>0</v>
      </c>
      <c r="J25" s="772">
        <f t="shared" si="4"/>
        <v>0</v>
      </c>
      <c r="K25" s="772">
        <f t="shared" si="5"/>
        <v>0</v>
      </c>
      <c r="L25" s="772"/>
      <c r="M25" s="616"/>
      <c r="N25" s="616"/>
      <c r="O25" s="616">
        <v>0</v>
      </c>
      <c r="P25" s="772"/>
      <c r="Q25" s="616"/>
      <c r="R25" s="616"/>
      <c r="S25" s="616"/>
    </row>
    <row r="26" spans="1:19">
      <c r="A26" s="790">
        <f t="shared" si="6"/>
        <v>2.0999999999999979</v>
      </c>
      <c r="B26" s="616" t="s">
        <v>1207</v>
      </c>
      <c r="C26" s="772">
        <f t="shared" si="0"/>
        <v>298319.13</v>
      </c>
      <c r="D26" s="772">
        <f t="shared" si="1"/>
        <v>331075.68000000005</v>
      </c>
      <c r="E26" s="772"/>
      <c r="F26" s="772"/>
      <c r="G26" s="772">
        <f t="shared" si="2"/>
        <v>314697</v>
      </c>
      <c r="H26" s="772"/>
      <c r="I26" s="772">
        <f t="shared" si="3"/>
        <v>0</v>
      </c>
      <c r="J26" s="772">
        <f t="shared" si="4"/>
        <v>145459.70000000001</v>
      </c>
      <c r="K26" s="772">
        <f t="shared" si="5"/>
        <v>169237.70500000002</v>
      </c>
      <c r="L26" s="772"/>
      <c r="M26" s="616"/>
      <c r="N26" s="616">
        <v>139337.39000000001</v>
      </c>
      <c r="O26" s="616">
        <v>158981.74</v>
      </c>
      <c r="P26" s="772"/>
      <c r="Q26" s="616"/>
      <c r="R26" s="616">
        <v>151582.01</v>
      </c>
      <c r="S26" s="616">
        <v>179493.67</v>
      </c>
    </row>
    <row r="27" spans="1:19">
      <c r="A27" s="790">
        <f t="shared" si="6"/>
        <v>2.1099999999999977</v>
      </c>
      <c r="B27" s="616" t="s">
        <v>1208</v>
      </c>
      <c r="C27" s="777">
        <f t="shared" si="0"/>
        <v>250.17000000000002</v>
      </c>
      <c r="D27" s="777">
        <f t="shared" si="1"/>
        <v>1526.69</v>
      </c>
      <c r="E27" s="777"/>
      <c r="F27" s="777"/>
      <c r="G27" s="777">
        <f t="shared" si="2"/>
        <v>888</v>
      </c>
      <c r="H27" s="777"/>
      <c r="I27" s="777">
        <f t="shared" si="3"/>
        <v>0</v>
      </c>
      <c r="J27" s="777">
        <f t="shared" si="4"/>
        <v>1.5149999999999997</v>
      </c>
      <c r="K27" s="777">
        <f t="shared" si="5"/>
        <v>886.91500000000008</v>
      </c>
      <c r="L27" s="777"/>
      <c r="M27" s="616"/>
      <c r="N27" s="616">
        <v>-6.24</v>
      </c>
      <c r="O27" s="616">
        <v>256.41000000000003</v>
      </c>
      <c r="P27" s="772"/>
      <c r="Q27" s="616"/>
      <c r="R27" s="616">
        <v>9.27</v>
      </c>
      <c r="S27" s="616">
        <v>1517.42</v>
      </c>
    </row>
    <row r="28" spans="1:19">
      <c r="A28" s="790">
        <f t="shared" si="6"/>
        <v>2.1199999999999974</v>
      </c>
      <c r="B28" s="616" t="s">
        <v>1209</v>
      </c>
      <c r="C28" s="772">
        <f t="shared" si="0"/>
        <v>354588.06000000006</v>
      </c>
      <c r="D28" s="772">
        <f t="shared" si="1"/>
        <v>354588.06000000006</v>
      </c>
      <c r="E28" s="772"/>
      <c r="F28" s="772"/>
      <c r="G28" s="772">
        <f t="shared" si="2"/>
        <v>354588</v>
      </c>
      <c r="H28" s="772"/>
      <c r="I28" s="772">
        <f t="shared" si="3"/>
        <v>0</v>
      </c>
      <c r="J28" s="772">
        <f t="shared" si="4"/>
        <v>46661.21</v>
      </c>
      <c r="K28" s="772">
        <f t="shared" si="5"/>
        <v>307926.85000000003</v>
      </c>
      <c r="L28" s="772"/>
      <c r="M28" s="616"/>
      <c r="N28" s="616">
        <v>46661.21</v>
      </c>
      <c r="O28" s="616">
        <v>307926.85000000003</v>
      </c>
      <c r="P28" s="772"/>
      <c r="Q28" s="616"/>
      <c r="R28" s="616">
        <v>46661.21</v>
      </c>
      <c r="S28" s="616">
        <v>307926.85000000003</v>
      </c>
    </row>
    <row r="29" spans="1:19">
      <c r="A29" s="790">
        <f t="shared" si="6"/>
        <v>2.1299999999999972</v>
      </c>
      <c r="B29" s="616" t="s">
        <v>1210</v>
      </c>
      <c r="C29" s="772">
        <f t="shared" si="0"/>
        <v>-574511.69000000006</v>
      </c>
      <c r="D29" s="772">
        <f t="shared" si="1"/>
        <v>-715695.8600000001</v>
      </c>
      <c r="E29" s="772"/>
      <c r="F29" s="772"/>
      <c r="G29" s="772">
        <f t="shared" si="2"/>
        <v>-645104</v>
      </c>
      <c r="H29" s="772"/>
      <c r="I29" s="772">
        <f t="shared" si="3"/>
        <v>0</v>
      </c>
      <c r="J29" s="772">
        <f t="shared" si="4"/>
        <v>-135202.07500000001</v>
      </c>
      <c r="K29" s="772">
        <f t="shared" si="5"/>
        <v>-509901.70000000007</v>
      </c>
      <c r="L29" s="772"/>
      <c r="M29" s="616"/>
      <c r="N29" s="616">
        <v>-120178.23</v>
      </c>
      <c r="O29" s="616">
        <v>-454333.46</v>
      </c>
      <c r="P29" s="772"/>
      <c r="Q29" s="616"/>
      <c r="R29" s="616">
        <v>-150225.92000000001</v>
      </c>
      <c r="S29" s="616">
        <v>-565469.94000000006</v>
      </c>
    </row>
    <row r="30" spans="1:19">
      <c r="A30" s="790">
        <f t="shared" si="6"/>
        <v>2.139999999999997</v>
      </c>
      <c r="B30" s="616" t="s">
        <v>1211</v>
      </c>
      <c r="C30" s="772">
        <f t="shared" si="0"/>
        <v>1880910.22</v>
      </c>
      <c r="D30" s="772">
        <f t="shared" si="1"/>
        <v>2072945.24</v>
      </c>
      <c r="E30" s="772"/>
      <c r="F30" s="772"/>
      <c r="G30" s="772">
        <f t="shared" si="2"/>
        <v>1976928</v>
      </c>
      <c r="H30" s="772"/>
      <c r="I30" s="772">
        <f t="shared" si="3"/>
        <v>0</v>
      </c>
      <c r="J30" s="772">
        <f t="shared" si="4"/>
        <v>719472.52</v>
      </c>
      <c r="K30" s="772">
        <f t="shared" si="5"/>
        <v>1257455.21</v>
      </c>
      <c r="L30" s="772"/>
      <c r="M30" s="616"/>
      <c r="N30" s="616">
        <v>668088.30000000005</v>
      </c>
      <c r="O30" s="616">
        <v>1212821.92</v>
      </c>
      <c r="P30" s="772"/>
      <c r="Q30" s="616"/>
      <c r="R30" s="616">
        <v>770856.74</v>
      </c>
      <c r="S30" s="616">
        <v>1302088.5</v>
      </c>
    </row>
    <row r="31" spans="1:19">
      <c r="A31" s="790">
        <f t="shared" si="6"/>
        <v>2.1499999999999968</v>
      </c>
      <c r="B31" s="616" t="s">
        <v>1212</v>
      </c>
      <c r="C31" s="772">
        <f t="shared" si="0"/>
        <v>-560188.47</v>
      </c>
      <c r="D31" s="772">
        <f t="shared" si="1"/>
        <v>-617674.07000000007</v>
      </c>
      <c r="E31" s="772"/>
      <c r="F31" s="772"/>
      <c r="G31" s="772">
        <f t="shared" si="2"/>
        <v>-588931</v>
      </c>
      <c r="H31" s="772"/>
      <c r="I31" s="772">
        <f t="shared" si="3"/>
        <v>0</v>
      </c>
      <c r="J31" s="772">
        <f t="shared" si="4"/>
        <v>-275378.75</v>
      </c>
      <c r="K31" s="772">
        <f t="shared" si="5"/>
        <v>-313552.52</v>
      </c>
      <c r="L31" s="772"/>
      <c r="M31" s="616"/>
      <c r="N31" s="616">
        <v>-264395.15000000002</v>
      </c>
      <c r="O31" s="616">
        <v>-295793.32</v>
      </c>
      <c r="P31" s="772"/>
      <c r="Q31" s="616"/>
      <c r="R31" s="616">
        <v>-286362.35000000003</v>
      </c>
      <c r="S31" s="616">
        <v>-331311.72000000003</v>
      </c>
    </row>
    <row r="32" spans="1:19">
      <c r="A32" s="790">
        <f t="shared" si="6"/>
        <v>2.1599999999999966</v>
      </c>
      <c r="B32" s="616" t="s">
        <v>1213</v>
      </c>
      <c r="C32" s="772">
        <f t="shared" si="0"/>
        <v>-2362.67</v>
      </c>
      <c r="D32" s="772">
        <f t="shared" si="1"/>
        <v>291.52</v>
      </c>
      <c r="E32" s="772"/>
      <c r="F32" s="772"/>
      <c r="G32" s="772">
        <f t="shared" si="2"/>
        <v>-1036</v>
      </c>
      <c r="H32" s="772"/>
      <c r="I32" s="772">
        <f t="shared" si="3"/>
        <v>0</v>
      </c>
      <c r="J32" s="772">
        <f t="shared" si="4"/>
        <v>-1035.575</v>
      </c>
      <c r="K32" s="772">
        <f t="shared" si="5"/>
        <v>0</v>
      </c>
      <c r="L32" s="772"/>
      <c r="M32" s="616"/>
      <c r="N32" s="616">
        <v>-2362.67</v>
      </c>
      <c r="O32" s="616"/>
      <c r="P32" s="772"/>
      <c r="Q32" s="616"/>
      <c r="R32" s="616">
        <v>291.52</v>
      </c>
      <c r="S32" s="616"/>
    </row>
    <row r="33" spans="1:19">
      <c r="A33" s="790">
        <f t="shared" si="6"/>
        <v>2.1699999999999964</v>
      </c>
      <c r="B33" s="616" t="s">
        <v>1214</v>
      </c>
      <c r="C33" s="772">
        <f t="shared" si="0"/>
        <v>1363110.69</v>
      </c>
      <c r="D33" s="772">
        <f t="shared" si="1"/>
        <v>1543845.6400000001</v>
      </c>
      <c r="E33" s="772"/>
      <c r="F33" s="772"/>
      <c r="G33" s="772">
        <f t="shared" si="2"/>
        <v>1453478</v>
      </c>
      <c r="H33" s="772"/>
      <c r="I33" s="772">
        <f t="shared" si="3"/>
        <v>0</v>
      </c>
      <c r="J33" s="772">
        <f t="shared" si="4"/>
        <v>464920.47499999998</v>
      </c>
      <c r="K33" s="772">
        <f t="shared" si="5"/>
        <v>988557.69</v>
      </c>
      <c r="L33" s="772"/>
      <c r="M33" s="616"/>
      <c r="N33" s="616">
        <v>430482.92</v>
      </c>
      <c r="O33" s="616">
        <v>932627.77</v>
      </c>
      <c r="P33" s="772"/>
      <c r="Q33" s="616"/>
      <c r="R33" s="616">
        <v>499358.03</v>
      </c>
      <c r="S33" s="616">
        <v>1044487.61</v>
      </c>
    </row>
    <row r="34" spans="1:19">
      <c r="A34" s="790">
        <f t="shared" si="6"/>
        <v>2.1799999999999962</v>
      </c>
      <c r="B34" s="616" t="s">
        <v>1215</v>
      </c>
      <c r="C34" s="772">
        <f t="shared" si="0"/>
        <v>6379713.04</v>
      </c>
      <c r="D34" s="772">
        <f t="shared" si="1"/>
        <v>6045997.8700000001</v>
      </c>
      <c r="E34" s="772"/>
      <c r="F34" s="772"/>
      <c r="G34" s="772">
        <f t="shared" si="2"/>
        <v>6212855</v>
      </c>
      <c r="H34" s="772"/>
      <c r="I34" s="772">
        <f t="shared" si="3"/>
        <v>0</v>
      </c>
      <c r="J34" s="772">
        <f t="shared" si="4"/>
        <v>2540912.7750000004</v>
      </c>
      <c r="K34" s="772">
        <f t="shared" si="5"/>
        <v>3671942.6799999997</v>
      </c>
      <c r="L34" s="772"/>
      <c r="M34" s="616"/>
      <c r="N34" s="616">
        <v>2540775.64</v>
      </c>
      <c r="O34" s="616">
        <v>3838937.4</v>
      </c>
      <c r="P34" s="772"/>
      <c r="Q34" s="616"/>
      <c r="R34" s="616">
        <v>2541049.91</v>
      </c>
      <c r="S34" s="616">
        <v>3504947.96</v>
      </c>
    </row>
    <row r="35" spans="1:19">
      <c r="A35" s="790">
        <f t="shared" si="6"/>
        <v>2.1899999999999959</v>
      </c>
      <c r="B35" s="616" t="s">
        <v>1216</v>
      </c>
      <c r="C35" s="772">
        <f t="shared" si="0"/>
        <v>4183.66</v>
      </c>
      <c r="D35" s="772">
        <f t="shared" si="1"/>
        <v>4183.66</v>
      </c>
      <c r="E35" s="772"/>
      <c r="F35" s="772"/>
      <c r="G35" s="772">
        <f t="shared" si="2"/>
        <v>4184</v>
      </c>
      <c r="H35" s="772"/>
      <c r="I35" s="772">
        <f t="shared" si="3"/>
        <v>0</v>
      </c>
      <c r="J35" s="772">
        <f t="shared" si="4"/>
        <v>911.9</v>
      </c>
      <c r="K35" s="772">
        <f t="shared" si="5"/>
        <v>3271.76</v>
      </c>
      <c r="L35" s="772"/>
      <c r="M35" s="616"/>
      <c r="N35" s="616">
        <v>911.9</v>
      </c>
      <c r="O35" s="616">
        <v>3271.76</v>
      </c>
      <c r="P35" s="772"/>
      <c r="Q35" s="616"/>
      <c r="R35" s="616">
        <v>911.9</v>
      </c>
      <c r="S35" s="616">
        <v>3271.76</v>
      </c>
    </row>
    <row r="36" spans="1:19">
      <c r="A36" s="790">
        <f t="shared" si="6"/>
        <v>2.1999999999999957</v>
      </c>
      <c r="B36" s="616" t="s">
        <v>1217</v>
      </c>
      <c r="C36" s="772">
        <f t="shared" si="0"/>
        <v>375807.10000000003</v>
      </c>
      <c r="D36" s="772">
        <f t="shared" si="1"/>
        <v>392065.32</v>
      </c>
      <c r="E36" s="772"/>
      <c r="F36" s="772"/>
      <c r="G36" s="772">
        <f t="shared" si="2"/>
        <v>383936</v>
      </c>
      <c r="H36" s="772"/>
      <c r="I36" s="772">
        <f t="shared" si="3"/>
        <v>0</v>
      </c>
      <c r="J36" s="772">
        <f t="shared" si="4"/>
        <v>11003.64</v>
      </c>
      <c r="K36" s="772">
        <f t="shared" si="5"/>
        <v>372932.57</v>
      </c>
      <c r="L36" s="772"/>
      <c r="M36" s="616"/>
      <c r="N36" s="616">
        <v>11003.64</v>
      </c>
      <c r="O36" s="616">
        <v>364803.46</v>
      </c>
      <c r="P36" s="772"/>
      <c r="Q36" s="616"/>
      <c r="R36" s="616">
        <v>11003.64</v>
      </c>
      <c r="S36" s="616">
        <v>381061.68</v>
      </c>
    </row>
    <row r="37" spans="1:19">
      <c r="A37" s="790">
        <f t="shared" si="6"/>
        <v>2.2099999999999955</v>
      </c>
      <c r="B37" s="616" t="s">
        <v>1218</v>
      </c>
      <c r="C37" s="772">
        <f t="shared" si="0"/>
        <v>5439695.1500000004</v>
      </c>
      <c r="D37" s="772">
        <f t="shared" si="1"/>
        <v>5837960.2699999996</v>
      </c>
      <c r="E37" s="772"/>
      <c r="F37" s="772"/>
      <c r="G37" s="772">
        <f t="shared" si="2"/>
        <v>5638828</v>
      </c>
      <c r="H37" s="772"/>
      <c r="I37" s="772">
        <f t="shared" si="3"/>
        <v>0</v>
      </c>
      <c r="J37" s="772">
        <f t="shared" si="4"/>
        <v>1177161.7949999999</v>
      </c>
      <c r="K37" s="772">
        <f t="shared" si="5"/>
        <v>4461665.915</v>
      </c>
      <c r="L37" s="772"/>
      <c r="M37" s="616"/>
      <c r="N37" s="616">
        <v>1114044.53</v>
      </c>
      <c r="O37" s="616">
        <v>4325650.62</v>
      </c>
      <c r="P37" s="772"/>
      <c r="Q37" s="616"/>
      <c r="R37" s="616">
        <v>1240279.06</v>
      </c>
      <c r="S37" s="616">
        <v>4597681.21</v>
      </c>
    </row>
    <row r="38" spans="1:19">
      <c r="A38" s="790">
        <f t="shared" si="6"/>
        <v>2.2199999999999953</v>
      </c>
      <c r="B38" s="616" t="s">
        <v>1219</v>
      </c>
      <c r="C38" s="772">
        <f t="shared" si="0"/>
        <v>-41448.22</v>
      </c>
      <c r="D38" s="772">
        <f t="shared" si="1"/>
        <v>-46399.69</v>
      </c>
      <c r="E38" s="772"/>
      <c r="F38" s="772"/>
      <c r="G38" s="772">
        <f t="shared" si="2"/>
        <v>-43924</v>
      </c>
      <c r="H38" s="772"/>
      <c r="I38" s="772">
        <f t="shared" si="3"/>
        <v>0</v>
      </c>
      <c r="J38" s="772">
        <f t="shared" si="4"/>
        <v>-166.875</v>
      </c>
      <c r="K38" s="772">
        <f t="shared" si="5"/>
        <v>-43757.08</v>
      </c>
      <c r="L38" s="772"/>
      <c r="M38" s="616"/>
      <c r="N38" s="616">
        <v>-141.54</v>
      </c>
      <c r="O38" s="616">
        <v>-41306.68</v>
      </c>
      <c r="P38" s="772"/>
      <c r="Q38" s="616"/>
      <c r="R38" s="616">
        <v>-192.21</v>
      </c>
      <c r="S38" s="616">
        <v>-46207.48</v>
      </c>
    </row>
    <row r="39" spans="1:19">
      <c r="A39" s="790">
        <f t="shared" si="6"/>
        <v>2.2299999999999951</v>
      </c>
      <c r="B39" s="616" t="s">
        <v>1220</v>
      </c>
      <c r="C39" s="772">
        <f t="shared" si="0"/>
        <v>0</v>
      </c>
      <c r="D39" s="772">
        <f t="shared" si="1"/>
        <v>0</v>
      </c>
      <c r="E39" s="772"/>
      <c r="F39" s="772"/>
      <c r="G39" s="772">
        <f t="shared" si="2"/>
        <v>0</v>
      </c>
      <c r="H39" s="772"/>
      <c r="I39" s="772">
        <f t="shared" si="3"/>
        <v>0</v>
      </c>
      <c r="J39" s="772">
        <f t="shared" si="4"/>
        <v>0</v>
      </c>
      <c r="K39" s="772">
        <f t="shared" si="5"/>
        <v>0</v>
      </c>
      <c r="L39" s="772"/>
      <c r="M39" s="616"/>
      <c r="N39" s="616">
        <v>0</v>
      </c>
      <c r="O39" s="616">
        <v>0</v>
      </c>
      <c r="P39" s="772"/>
      <c r="Q39" s="616"/>
      <c r="R39" s="616"/>
      <c r="S39" s="616"/>
    </row>
    <row r="40" spans="1:19">
      <c r="A40" s="790">
        <f t="shared" si="6"/>
        <v>2.2399999999999949</v>
      </c>
      <c r="B40" s="616" t="s">
        <v>1221</v>
      </c>
      <c r="C40" s="772">
        <f t="shared" si="0"/>
        <v>-189722.76</v>
      </c>
      <c r="D40" s="772">
        <f t="shared" si="1"/>
        <v>0</v>
      </c>
      <c r="E40" s="772"/>
      <c r="F40" s="772"/>
      <c r="G40" s="772">
        <f t="shared" si="2"/>
        <v>-94861</v>
      </c>
      <c r="H40" s="772"/>
      <c r="I40" s="772">
        <f t="shared" si="3"/>
        <v>0</v>
      </c>
      <c r="J40" s="772">
        <f t="shared" si="4"/>
        <v>-13216.34</v>
      </c>
      <c r="K40" s="772">
        <f t="shared" si="5"/>
        <v>-81645.040000000008</v>
      </c>
      <c r="L40" s="772"/>
      <c r="M40" s="616"/>
      <c r="N40" s="616">
        <v>-26432.68</v>
      </c>
      <c r="O40" s="616">
        <v>-163290.08000000002</v>
      </c>
      <c r="P40" s="772"/>
      <c r="Q40" s="616"/>
      <c r="R40" s="616"/>
      <c r="S40" s="616"/>
    </row>
    <row r="41" spans="1:19">
      <c r="A41" s="790">
        <f t="shared" si="6"/>
        <v>2.2499999999999947</v>
      </c>
      <c r="B41" s="616" t="s">
        <v>1222</v>
      </c>
      <c r="C41" s="772">
        <f t="shared" si="0"/>
        <v>4355183.46</v>
      </c>
      <c r="D41" s="772">
        <f t="shared" si="1"/>
        <v>4663970.9000000004</v>
      </c>
      <c r="E41" s="772"/>
      <c r="F41" s="772"/>
      <c r="G41" s="772">
        <f t="shared" si="2"/>
        <v>4509577</v>
      </c>
      <c r="H41" s="772"/>
      <c r="I41" s="772">
        <f t="shared" si="3"/>
        <v>0</v>
      </c>
      <c r="J41" s="772">
        <f t="shared" si="4"/>
        <v>0</v>
      </c>
      <c r="K41" s="772">
        <f t="shared" si="5"/>
        <v>4509577.18</v>
      </c>
      <c r="L41" s="772"/>
      <c r="M41" s="616"/>
      <c r="N41" s="616"/>
      <c r="O41" s="616">
        <v>4355183.46</v>
      </c>
      <c r="P41" s="772"/>
      <c r="Q41" s="616"/>
      <c r="R41" s="616"/>
      <c r="S41" s="616">
        <v>4663970.9000000004</v>
      </c>
    </row>
    <row r="42" spans="1:19">
      <c r="A42" s="790">
        <f t="shared" si="6"/>
        <v>2.2599999999999945</v>
      </c>
      <c r="B42" s="616" t="s">
        <v>1223</v>
      </c>
      <c r="C42" s="772">
        <f t="shared" si="0"/>
        <v>0</v>
      </c>
      <c r="D42" s="772">
        <f t="shared" si="1"/>
        <v>0</v>
      </c>
      <c r="E42" s="772"/>
      <c r="F42" s="772"/>
      <c r="G42" s="772">
        <f t="shared" si="2"/>
        <v>0</v>
      </c>
      <c r="H42" s="772"/>
      <c r="I42" s="772">
        <f t="shared" si="3"/>
        <v>0</v>
      </c>
      <c r="J42" s="772">
        <f t="shared" si="4"/>
        <v>0</v>
      </c>
      <c r="K42" s="772">
        <f t="shared" si="5"/>
        <v>0</v>
      </c>
      <c r="L42" s="772"/>
      <c r="M42" s="616"/>
      <c r="N42" s="616"/>
      <c r="O42" s="616"/>
      <c r="P42" s="772"/>
      <c r="Q42" s="616"/>
      <c r="R42" s="616"/>
      <c r="S42" s="616"/>
    </row>
    <row r="43" spans="1:19">
      <c r="A43" s="790">
        <f t="shared" si="6"/>
        <v>2.2699999999999942</v>
      </c>
      <c r="B43" s="616" t="s">
        <v>1224</v>
      </c>
      <c r="C43" s="772">
        <f t="shared" si="0"/>
        <v>7712.3</v>
      </c>
      <c r="D43" s="772">
        <f t="shared" si="1"/>
        <v>-79741.759999999995</v>
      </c>
      <c r="E43" s="772"/>
      <c r="F43" s="772"/>
      <c r="G43" s="772">
        <f t="shared" si="2"/>
        <v>-36015</v>
      </c>
      <c r="H43" s="772"/>
      <c r="I43" s="772">
        <f t="shared" si="3"/>
        <v>0</v>
      </c>
      <c r="J43" s="772">
        <f t="shared" si="4"/>
        <v>0</v>
      </c>
      <c r="K43" s="772">
        <f t="shared" si="5"/>
        <v>-36014.729999999996</v>
      </c>
      <c r="L43" s="772"/>
      <c r="M43" s="616"/>
      <c r="N43" s="616"/>
      <c r="O43" s="616">
        <v>7712.3</v>
      </c>
      <c r="P43" s="772"/>
      <c r="Q43" s="616"/>
      <c r="R43" s="616"/>
      <c r="S43" s="616">
        <v>-79741.759999999995</v>
      </c>
    </row>
    <row r="44" spans="1:19">
      <c r="A44" s="790">
        <f t="shared" si="6"/>
        <v>2.279999999999994</v>
      </c>
      <c r="B44" s="616" t="s">
        <v>1225</v>
      </c>
      <c r="C44" s="772">
        <f t="shared" si="0"/>
        <v>-637173.76000000001</v>
      </c>
      <c r="D44" s="772">
        <f t="shared" si="1"/>
        <v>-622784.8600000001</v>
      </c>
      <c r="E44" s="772"/>
      <c r="F44" s="772"/>
      <c r="G44" s="772">
        <f t="shared" si="2"/>
        <v>-629979</v>
      </c>
      <c r="H44" s="772"/>
      <c r="I44" s="772">
        <f t="shared" si="3"/>
        <v>0</v>
      </c>
      <c r="J44" s="772">
        <f t="shared" si="4"/>
        <v>-85989.34</v>
      </c>
      <c r="K44" s="772">
        <f t="shared" si="5"/>
        <v>-543989.97</v>
      </c>
      <c r="L44" s="772"/>
      <c r="M44" s="616"/>
      <c r="N44" s="616">
        <v>-84635.12</v>
      </c>
      <c r="O44" s="616">
        <v>-552538.64</v>
      </c>
      <c r="P44" s="772"/>
      <c r="Q44" s="616"/>
      <c r="R44" s="616">
        <v>-87343.56</v>
      </c>
      <c r="S44" s="616">
        <v>-535441.30000000005</v>
      </c>
    </row>
    <row r="45" spans="1:19">
      <c r="A45" s="790">
        <f t="shared" si="6"/>
        <v>2.2899999999999938</v>
      </c>
      <c r="B45" s="616" t="s">
        <v>1226</v>
      </c>
      <c r="C45" s="772">
        <f t="shared" si="0"/>
        <v>28877.67</v>
      </c>
      <c r="D45" s="772">
        <f t="shared" si="1"/>
        <v>-17677.420000000002</v>
      </c>
      <c r="E45" s="772"/>
      <c r="F45" s="772"/>
      <c r="G45" s="772">
        <f t="shared" si="2"/>
        <v>5600</v>
      </c>
      <c r="H45" s="772"/>
      <c r="I45" s="772">
        <f t="shared" si="3"/>
        <v>0</v>
      </c>
      <c r="J45" s="772">
        <f t="shared" si="4"/>
        <v>1291.3200000000002</v>
      </c>
      <c r="K45" s="772">
        <f t="shared" si="5"/>
        <v>4308.8049999999985</v>
      </c>
      <c r="L45" s="772"/>
      <c r="M45" s="616"/>
      <c r="N45" s="616">
        <v>1519.21</v>
      </c>
      <c r="O45" s="616">
        <v>27358.46</v>
      </c>
      <c r="P45" s="772"/>
      <c r="Q45" s="616"/>
      <c r="R45" s="616">
        <v>1063.43</v>
      </c>
      <c r="S45" s="616">
        <v>-18740.850000000002</v>
      </c>
    </row>
    <row r="46" spans="1:19">
      <c r="A46" s="790">
        <f t="shared" si="6"/>
        <v>2.2999999999999936</v>
      </c>
      <c r="B46" s="616" t="s">
        <v>1227</v>
      </c>
      <c r="C46" s="772">
        <f t="shared" si="0"/>
        <v>-2787.61</v>
      </c>
      <c r="D46" s="772">
        <f t="shared" si="1"/>
        <v>-2221.42</v>
      </c>
      <c r="E46" s="772"/>
      <c r="F46" s="772"/>
      <c r="G46" s="772">
        <f t="shared" si="2"/>
        <v>-2505</v>
      </c>
      <c r="H46" s="772"/>
      <c r="I46" s="772">
        <f t="shared" si="3"/>
        <v>0</v>
      </c>
      <c r="J46" s="772">
        <f t="shared" si="4"/>
        <v>-185.47000000000003</v>
      </c>
      <c r="K46" s="772">
        <f t="shared" si="5"/>
        <v>-2319.0450000000001</v>
      </c>
      <c r="L46" s="772"/>
      <c r="M46" s="616"/>
      <c r="N46" s="616">
        <v>-188.11</v>
      </c>
      <c r="O46" s="616">
        <v>-2599.5</v>
      </c>
      <c r="P46" s="772"/>
      <c r="Q46" s="616"/>
      <c r="R46" s="616">
        <v>-182.83</v>
      </c>
      <c r="S46" s="616">
        <v>-2038.5900000000001</v>
      </c>
    </row>
    <row r="47" spans="1:19">
      <c r="A47" s="790">
        <f t="shared" si="6"/>
        <v>2.3099999999999934</v>
      </c>
      <c r="B47" s="616" t="s">
        <v>1228</v>
      </c>
      <c r="C47" s="772">
        <f t="shared" si="0"/>
        <v>359806.98</v>
      </c>
      <c r="D47" s="772">
        <f t="shared" si="1"/>
        <v>416011.57000000007</v>
      </c>
      <c r="E47" s="772"/>
      <c r="F47" s="772"/>
      <c r="G47" s="772">
        <f t="shared" si="2"/>
        <v>387909</v>
      </c>
      <c r="H47" s="772"/>
      <c r="I47" s="772">
        <f t="shared" si="3"/>
        <v>0</v>
      </c>
      <c r="J47" s="772">
        <f t="shared" si="4"/>
        <v>62217.72</v>
      </c>
      <c r="K47" s="772">
        <f t="shared" si="5"/>
        <v>325691.55500000005</v>
      </c>
      <c r="L47" s="772"/>
      <c r="M47" s="616"/>
      <c r="N47" s="616">
        <v>56644.78</v>
      </c>
      <c r="O47" s="616">
        <v>303162.2</v>
      </c>
      <c r="P47" s="772"/>
      <c r="Q47" s="616"/>
      <c r="R47" s="616">
        <v>67790.66</v>
      </c>
      <c r="S47" s="616">
        <v>348220.91000000003</v>
      </c>
    </row>
    <row r="48" spans="1:19">
      <c r="A48" s="790">
        <f t="shared" si="6"/>
        <v>2.3199999999999932</v>
      </c>
      <c r="B48" s="616" t="s">
        <v>1229</v>
      </c>
      <c r="C48" s="772">
        <f t="shared" si="0"/>
        <v>-341836</v>
      </c>
      <c r="D48" s="772">
        <f t="shared" si="1"/>
        <v>-328209.55</v>
      </c>
      <c r="E48" s="772"/>
      <c r="F48" s="772"/>
      <c r="G48" s="772">
        <f t="shared" si="2"/>
        <v>-335023</v>
      </c>
      <c r="H48" s="772"/>
      <c r="I48" s="772">
        <f t="shared" si="3"/>
        <v>0</v>
      </c>
      <c r="J48" s="772">
        <f t="shared" si="4"/>
        <v>-58481.495000000003</v>
      </c>
      <c r="K48" s="772">
        <f t="shared" si="5"/>
        <v>-276541.28000000003</v>
      </c>
      <c r="L48" s="772"/>
      <c r="M48" s="616"/>
      <c r="N48" s="616">
        <v>-58854.76</v>
      </c>
      <c r="O48" s="616">
        <v>-282981.24</v>
      </c>
      <c r="P48" s="772"/>
      <c r="Q48" s="616"/>
      <c r="R48" s="616">
        <v>-58108.23</v>
      </c>
      <c r="S48" s="616">
        <v>-270101.32</v>
      </c>
    </row>
    <row r="49" spans="1:19">
      <c r="A49" s="790">
        <f t="shared" si="6"/>
        <v>2.329999999999993</v>
      </c>
      <c r="B49" s="616" t="s">
        <v>1230</v>
      </c>
      <c r="C49" s="772">
        <f t="shared" si="0"/>
        <v>58770</v>
      </c>
      <c r="D49" s="772">
        <f t="shared" si="1"/>
        <v>77121.58</v>
      </c>
      <c r="E49" s="772"/>
      <c r="F49" s="772"/>
      <c r="G49" s="772">
        <f t="shared" si="2"/>
        <v>67946</v>
      </c>
      <c r="H49" s="772"/>
      <c r="I49" s="772">
        <f t="shared" si="3"/>
        <v>0</v>
      </c>
      <c r="J49" s="772">
        <f t="shared" si="4"/>
        <v>0</v>
      </c>
      <c r="K49" s="772">
        <f t="shared" si="5"/>
        <v>67945.790000000008</v>
      </c>
      <c r="L49" s="772"/>
      <c r="M49" s="616"/>
      <c r="N49" s="616"/>
      <c r="O49" s="616">
        <v>58770</v>
      </c>
      <c r="P49" s="772"/>
      <c r="Q49" s="616"/>
      <c r="R49" s="616"/>
      <c r="S49" s="616">
        <v>77121.58</v>
      </c>
    </row>
    <row r="50" spans="1:19">
      <c r="A50" s="790">
        <f t="shared" si="6"/>
        <v>2.3399999999999928</v>
      </c>
      <c r="B50" s="616" t="s">
        <v>1231</v>
      </c>
      <c r="C50" s="772">
        <f t="shared" si="0"/>
        <v>31934.68</v>
      </c>
      <c r="D50" s="772">
        <f t="shared" si="1"/>
        <v>28990.66</v>
      </c>
      <c r="E50" s="772"/>
      <c r="F50" s="772"/>
      <c r="G50" s="772">
        <f t="shared" si="2"/>
        <v>30463</v>
      </c>
      <c r="H50" s="772"/>
      <c r="I50" s="772">
        <f t="shared" si="3"/>
        <v>0</v>
      </c>
      <c r="J50" s="772">
        <f t="shared" si="4"/>
        <v>0.72499999999999998</v>
      </c>
      <c r="K50" s="772">
        <f t="shared" si="5"/>
        <v>30461.945</v>
      </c>
      <c r="L50" s="772"/>
      <c r="M50" s="616"/>
      <c r="N50" s="616">
        <v>1.45</v>
      </c>
      <c r="O50" s="616">
        <v>31933.23</v>
      </c>
      <c r="P50" s="772"/>
      <c r="Q50" s="616"/>
      <c r="R50" s="616"/>
      <c r="S50" s="616">
        <v>28990.66</v>
      </c>
    </row>
    <row r="51" spans="1:19">
      <c r="A51" s="790">
        <f t="shared" si="6"/>
        <v>2.3499999999999925</v>
      </c>
      <c r="B51" s="616" t="s">
        <v>1232</v>
      </c>
      <c r="C51" s="772">
        <f t="shared" si="0"/>
        <v>28420.03</v>
      </c>
      <c r="D51" s="772">
        <f t="shared" si="1"/>
        <v>26037.33</v>
      </c>
      <c r="E51" s="772"/>
      <c r="F51" s="772"/>
      <c r="G51" s="772">
        <f t="shared" si="2"/>
        <v>27229</v>
      </c>
      <c r="H51" s="772"/>
      <c r="I51" s="772">
        <f t="shared" si="3"/>
        <v>0</v>
      </c>
      <c r="J51" s="772">
        <f t="shared" si="4"/>
        <v>0</v>
      </c>
      <c r="K51" s="772">
        <f t="shared" si="5"/>
        <v>27228.68</v>
      </c>
      <c r="L51" s="772"/>
      <c r="M51" s="616"/>
      <c r="N51" s="616"/>
      <c r="O51" s="616">
        <v>28420.03</v>
      </c>
      <c r="P51" s="772"/>
      <c r="Q51" s="616"/>
      <c r="R51" s="616"/>
      <c r="S51" s="616">
        <v>26037.33</v>
      </c>
    </row>
    <row r="52" spans="1:19">
      <c r="A52" s="790">
        <f t="shared" si="6"/>
        <v>2.3599999999999923</v>
      </c>
      <c r="B52" s="616" t="s">
        <v>1233</v>
      </c>
      <c r="C52" s="772">
        <f t="shared" si="0"/>
        <v>-0.01</v>
      </c>
      <c r="D52" s="772">
        <f t="shared" si="1"/>
        <v>-0.01</v>
      </c>
      <c r="E52" s="772"/>
      <c r="F52" s="772"/>
      <c r="G52" s="772">
        <f t="shared" si="2"/>
        <v>0</v>
      </c>
      <c r="H52" s="772"/>
      <c r="I52" s="772">
        <f t="shared" si="3"/>
        <v>0</v>
      </c>
      <c r="J52" s="772">
        <f t="shared" si="4"/>
        <v>0</v>
      </c>
      <c r="K52" s="772">
        <f t="shared" si="5"/>
        <v>-0.01</v>
      </c>
      <c r="L52" s="772"/>
      <c r="M52" s="616"/>
      <c r="N52" s="616"/>
      <c r="O52" s="616">
        <v>-0.01</v>
      </c>
      <c r="P52" s="772"/>
      <c r="Q52" s="616"/>
      <c r="R52" s="616"/>
      <c r="S52" s="616">
        <v>-0.01</v>
      </c>
    </row>
    <row r="53" spans="1:19">
      <c r="A53" s="790">
        <f t="shared" si="6"/>
        <v>2.3699999999999921</v>
      </c>
      <c r="B53" s="616" t="s">
        <v>1234</v>
      </c>
      <c r="C53" s="772">
        <f t="shared" si="0"/>
        <v>-3066.01</v>
      </c>
      <c r="D53" s="772">
        <f t="shared" si="1"/>
        <v>0.06</v>
      </c>
      <c r="E53" s="772"/>
      <c r="F53" s="772"/>
      <c r="G53" s="772">
        <f t="shared" si="2"/>
        <v>-1533</v>
      </c>
      <c r="H53" s="772"/>
      <c r="I53" s="772">
        <f t="shared" si="3"/>
        <v>0</v>
      </c>
      <c r="J53" s="772">
        <f t="shared" si="4"/>
        <v>0</v>
      </c>
      <c r="K53" s="772">
        <f t="shared" si="5"/>
        <v>-1532.9750000000001</v>
      </c>
      <c r="L53" s="772"/>
      <c r="M53" s="616"/>
      <c r="N53" s="616"/>
      <c r="O53" s="616">
        <v>-3066.01</v>
      </c>
      <c r="P53" s="772"/>
      <c r="Q53" s="616"/>
      <c r="R53" s="616"/>
      <c r="S53" s="616">
        <v>0.06</v>
      </c>
    </row>
    <row r="54" spans="1:19">
      <c r="A54" s="790">
        <f t="shared" si="6"/>
        <v>2.3799999999999919</v>
      </c>
      <c r="B54" s="616" t="s">
        <v>1235</v>
      </c>
      <c r="C54" s="772">
        <f t="shared" si="0"/>
        <v>1755.82</v>
      </c>
      <c r="D54" s="772">
        <f t="shared" si="1"/>
        <v>1755.82</v>
      </c>
      <c r="E54" s="772"/>
      <c r="F54" s="772"/>
      <c r="G54" s="772">
        <f t="shared" si="2"/>
        <v>1756</v>
      </c>
      <c r="H54" s="772"/>
      <c r="I54" s="772">
        <f t="shared" si="3"/>
        <v>0</v>
      </c>
      <c r="J54" s="772">
        <f t="shared" si="4"/>
        <v>-0.01</v>
      </c>
      <c r="K54" s="772">
        <f t="shared" si="5"/>
        <v>1755.83</v>
      </c>
      <c r="L54" s="772"/>
      <c r="M54" s="616"/>
      <c r="N54" s="616">
        <v>-0.01</v>
      </c>
      <c r="O54" s="616">
        <v>1755.83</v>
      </c>
      <c r="P54" s="772"/>
      <c r="Q54" s="616"/>
      <c r="R54" s="616">
        <v>-0.01</v>
      </c>
      <c r="S54" s="616">
        <v>1755.83</v>
      </c>
    </row>
    <row r="55" spans="1:19">
      <c r="A55" s="790">
        <f t="shared" si="6"/>
        <v>2.3899999999999917</v>
      </c>
      <c r="B55" s="616" t="s">
        <v>1236</v>
      </c>
      <c r="C55" s="772">
        <f t="shared" si="0"/>
        <v>2505669.8400000003</v>
      </c>
      <c r="D55" s="772">
        <f t="shared" si="1"/>
        <v>4586683.16</v>
      </c>
      <c r="E55" s="772"/>
      <c r="F55" s="772"/>
      <c r="G55" s="772">
        <f t="shared" si="2"/>
        <v>3546177</v>
      </c>
      <c r="H55" s="772"/>
      <c r="I55" s="772">
        <f t="shared" si="3"/>
        <v>0</v>
      </c>
      <c r="J55" s="772">
        <f t="shared" si="4"/>
        <v>48294.67</v>
      </c>
      <c r="K55" s="772">
        <f t="shared" si="5"/>
        <v>3497881.83</v>
      </c>
      <c r="L55" s="772"/>
      <c r="M55" s="616"/>
      <c r="N55" s="616">
        <v>39409.910000000003</v>
      </c>
      <c r="O55" s="616">
        <v>2466259.9300000002</v>
      </c>
      <c r="P55" s="772"/>
      <c r="Q55" s="616"/>
      <c r="R55" s="616">
        <v>57179.43</v>
      </c>
      <c r="S55" s="616">
        <v>4529503.7300000004</v>
      </c>
    </row>
    <row r="56" spans="1:19">
      <c r="A56" s="790">
        <f t="shared" si="6"/>
        <v>2.3999999999999915</v>
      </c>
      <c r="B56" s="616" t="s">
        <v>1237</v>
      </c>
      <c r="C56" s="772">
        <f t="shared" si="0"/>
        <v>33101.379999999997</v>
      </c>
      <c r="D56" s="772">
        <f t="shared" si="1"/>
        <v>33101.379999999997</v>
      </c>
      <c r="E56" s="772"/>
      <c r="F56" s="772"/>
      <c r="G56" s="772">
        <f t="shared" si="2"/>
        <v>33101</v>
      </c>
      <c r="H56" s="772"/>
      <c r="I56" s="772">
        <f t="shared" si="3"/>
        <v>0</v>
      </c>
      <c r="J56" s="772">
        <f t="shared" si="4"/>
        <v>0</v>
      </c>
      <c r="K56" s="772">
        <f t="shared" si="5"/>
        <v>33101.379999999997</v>
      </c>
      <c r="L56" s="772"/>
      <c r="M56" s="616"/>
      <c r="N56" s="616"/>
      <c r="O56" s="616">
        <v>33101.379999999997</v>
      </c>
      <c r="P56" s="772"/>
      <c r="Q56" s="616"/>
      <c r="R56" s="616"/>
      <c r="S56" s="616">
        <v>33101.379999999997</v>
      </c>
    </row>
    <row r="57" spans="1:19">
      <c r="A57" s="790">
        <f t="shared" si="6"/>
        <v>2.4099999999999913</v>
      </c>
      <c r="B57" s="616" t="s">
        <v>1238</v>
      </c>
      <c r="C57" s="772">
        <f t="shared" si="0"/>
        <v>2460849.7600000002</v>
      </c>
      <c r="D57" s="772">
        <f t="shared" si="1"/>
        <v>2467700.8099999996</v>
      </c>
      <c r="E57" s="772"/>
      <c r="F57" s="772"/>
      <c r="G57" s="772">
        <f t="shared" si="2"/>
        <v>2464275</v>
      </c>
      <c r="H57" s="772"/>
      <c r="I57" s="772">
        <f t="shared" si="3"/>
        <v>0</v>
      </c>
      <c r="J57" s="772">
        <f t="shared" si="4"/>
        <v>49839.605000000003</v>
      </c>
      <c r="K57" s="772">
        <f t="shared" si="5"/>
        <v>2414435.6799999997</v>
      </c>
      <c r="L57" s="772"/>
      <c r="M57" s="616"/>
      <c r="N57" s="616">
        <v>55154.66</v>
      </c>
      <c r="O57" s="616">
        <v>2405695.1</v>
      </c>
      <c r="P57" s="772"/>
      <c r="Q57" s="616"/>
      <c r="R57" s="616">
        <v>44524.55</v>
      </c>
      <c r="S57" s="616">
        <v>2423176.2599999998</v>
      </c>
    </row>
    <row r="58" spans="1:19">
      <c r="A58" s="790">
        <f t="shared" si="6"/>
        <v>2.419999999999991</v>
      </c>
      <c r="B58" s="616" t="s">
        <v>1239</v>
      </c>
      <c r="C58" s="772">
        <f t="shared" si="0"/>
        <v>6123141.4399999995</v>
      </c>
      <c r="D58" s="772">
        <f t="shared" si="1"/>
        <v>179.59</v>
      </c>
      <c r="E58" s="772"/>
      <c r="F58" s="772"/>
      <c r="G58" s="772">
        <f t="shared" si="2"/>
        <v>3061661</v>
      </c>
      <c r="H58" s="772"/>
      <c r="I58" s="772">
        <f t="shared" si="3"/>
        <v>0</v>
      </c>
      <c r="J58" s="772">
        <f t="shared" si="4"/>
        <v>103821.955</v>
      </c>
      <c r="K58" s="772">
        <f t="shared" si="5"/>
        <v>2957838.56</v>
      </c>
      <c r="L58" s="772"/>
      <c r="M58" s="616"/>
      <c r="N58" s="616">
        <v>207601.72</v>
      </c>
      <c r="O58" s="616">
        <v>5915539.7199999997</v>
      </c>
      <c r="P58" s="772"/>
      <c r="Q58" s="616"/>
      <c r="R58" s="616">
        <v>42.19</v>
      </c>
      <c r="S58" s="616">
        <v>137.4</v>
      </c>
    </row>
    <row r="59" spans="1:19">
      <c r="A59" s="790">
        <f t="shared" si="6"/>
        <v>2.4299999999999908</v>
      </c>
      <c r="B59" s="616" t="s">
        <v>1240</v>
      </c>
      <c r="C59" s="772">
        <f t="shared" si="0"/>
        <v>10310.6</v>
      </c>
      <c r="D59" s="772">
        <f t="shared" si="1"/>
        <v>10856.75</v>
      </c>
      <c r="E59" s="772"/>
      <c r="F59" s="772"/>
      <c r="G59" s="772">
        <f t="shared" si="2"/>
        <v>10584</v>
      </c>
      <c r="H59" s="772"/>
      <c r="I59" s="772">
        <f t="shared" si="3"/>
        <v>0</v>
      </c>
      <c r="J59" s="772">
        <f t="shared" si="4"/>
        <v>0</v>
      </c>
      <c r="K59" s="772">
        <f t="shared" si="5"/>
        <v>10583.674999999999</v>
      </c>
      <c r="L59" s="772"/>
      <c r="M59" s="616"/>
      <c r="N59" s="616"/>
      <c r="O59" s="616">
        <v>10310.6</v>
      </c>
      <c r="P59" s="772"/>
      <c r="Q59" s="616"/>
      <c r="R59" s="616"/>
      <c r="S59" s="616">
        <v>10856.75</v>
      </c>
    </row>
    <row r="60" spans="1:19">
      <c r="A60" s="790">
        <f t="shared" si="6"/>
        <v>2.4399999999999906</v>
      </c>
      <c r="B60" s="616" t="s">
        <v>1241</v>
      </c>
      <c r="C60" s="772">
        <f t="shared" si="0"/>
        <v>232000.31</v>
      </c>
      <c r="D60" s="772">
        <f t="shared" si="1"/>
        <v>183534.76</v>
      </c>
      <c r="E60" s="772"/>
      <c r="F60" s="772"/>
      <c r="G60" s="772">
        <f t="shared" si="2"/>
        <v>207768</v>
      </c>
      <c r="H60" s="772"/>
      <c r="I60" s="772">
        <f t="shared" si="3"/>
        <v>0</v>
      </c>
      <c r="J60" s="772">
        <f t="shared" si="4"/>
        <v>0</v>
      </c>
      <c r="K60" s="772">
        <f t="shared" si="5"/>
        <v>207767.535</v>
      </c>
      <c r="L60" s="772"/>
      <c r="M60" s="616"/>
      <c r="N60" s="616"/>
      <c r="O60" s="616">
        <v>232000.31</v>
      </c>
      <c r="P60" s="772"/>
      <c r="Q60" s="616"/>
      <c r="R60" s="616"/>
      <c r="S60" s="616">
        <v>183534.76</v>
      </c>
    </row>
    <row r="61" spans="1:19">
      <c r="A61" s="790">
        <f t="shared" si="6"/>
        <v>2.4499999999999904</v>
      </c>
      <c r="B61" s="616" t="s">
        <v>1242</v>
      </c>
      <c r="C61" s="772">
        <f t="shared" si="0"/>
        <v>68864.600000000006</v>
      </c>
      <c r="D61" s="772">
        <f t="shared" si="1"/>
        <v>68838.66</v>
      </c>
      <c r="E61" s="772"/>
      <c r="F61" s="772"/>
      <c r="G61" s="772">
        <f t="shared" si="2"/>
        <v>68852</v>
      </c>
      <c r="H61" s="772"/>
      <c r="I61" s="772">
        <f t="shared" si="3"/>
        <v>0</v>
      </c>
      <c r="J61" s="772">
        <f t="shared" si="4"/>
        <v>0</v>
      </c>
      <c r="K61" s="772">
        <f t="shared" si="5"/>
        <v>68851.63</v>
      </c>
      <c r="L61" s="772"/>
      <c r="M61" s="616"/>
      <c r="N61" s="616"/>
      <c r="O61" s="616">
        <v>68864.600000000006</v>
      </c>
      <c r="P61" s="772"/>
      <c r="Q61" s="616"/>
      <c r="R61" s="616"/>
      <c r="S61" s="616">
        <v>68838.66</v>
      </c>
    </row>
    <row r="62" spans="1:19">
      <c r="A62" s="790">
        <f t="shared" si="6"/>
        <v>2.4599999999999902</v>
      </c>
      <c r="B62" s="616" t="s">
        <v>1243</v>
      </c>
      <c r="C62" s="772">
        <f t="shared" si="0"/>
        <v>48478.54</v>
      </c>
      <c r="D62" s="772">
        <f t="shared" si="1"/>
        <v>-0.2</v>
      </c>
      <c r="E62" s="772"/>
      <c r="F62" s="772"/>
      <c r="G62" s="772">
        <f t="shared" si="2"/>
        <v>24239</v>
      </c>
      <c r="H62" s="772"/>
      <c r="I62" s="772">
        <f t="shared" si="3"/>
        <v>0</v>
      </c>
      <c r="J62" s="772">
        <f t="shared" si="4"/>
        <v>0</v>
      </c>
      <c r="K62" s="772">
        <f t="shared" si="5"/>
        <v>24239.170000000002</v>
      </c>
      <c r="L62" s="772"/>
      <c r="M62" s="616"/>
      <c r="N62" s="616"/>
      <c r="O62" s="616">
        <v>48478.54</v>
      </c>
      <c r="P62" s="772"/>
      <c r="Q62" s="616"/>
      <c r="R62" s="616"/>
      <c r="S62" s="616">
        <v>-0.2</v>
      </c>
    </row>
    <row r="63" spans="1:19">
      <c r="A63" s="790">
        <f t="shared" si="6"/>
        <v>2.46999999999999</v>
      </c>
      <c r="B63" s="616" t="s">
        <v>1244</v>
      </c>
      <c r="C63" s="772">
        <f t="shared" si="0"/>
        <v>-0.08</v>
      </c>
      <c r="D63" s="772">
        <f t="shared" si="1"/>
        <v>-0.08</v>
      </c>
      <c r="E63" s="772"/>
      <c r="F63" s="772"/>
      <c r="G63" s="772">
        <f t="shared" si="2"/>
        <v>0</v>
      </c>
      <c r="H63" s="772"/>
      <c r="I63" s="772">
        <f t="shared" si="3"/>
        <v>0</v>
      </c>
      <c r="J63" s="772">
        <f t="shared" si="4"/>
        <v>-0.08</v>
      </c>
      <c r="K63" s="772">
        <f t="shared" si="5"/>
        <v>0</v>
      </c>
      <c r="L63" s="772"/>
      <c r="M63" s="616"/>
      <c r="N63" s="616">
        <v>-0.08</v>
      </c>
      <c r="O63" s="616"/>
      <c r="P63" s="772"/>
      <c r="Q63" s="616"/>
      <c r="R63" s="616">
        <v>-0.08</v>
      </c>
      <c r="S63" s="616"/>
    </row>
    <row r="64" spans="1:19">
      <c r="A64" s="790">
        <f t="shared" si="6"/>
        <v>2.4799999999999898</v>
      </c>
      <c r="B64" s="616" t="s">
        <v>1245</v>
      </c>
      <c r="C64" s="772">
        <f t="shared" si="0"/>
        <v>11.37</v>
      </c>
      <c r="D64" s="772">
        <f t="shared" si="1"/>
        <v>1.77</v>
      </c>
      <c r="E64" s="772"/>
      <c r="F64" s="772"/>
      <c r="G64" s="772">
        <f t="shared" si="2"/>
        <v>7</v>
      </c>
      <c r="H64" s="772"/>
      <c r="I64" s="772">
        <f t="shared" si="3"/>
        <v>0</v>
      </c>
      <c r="J64" s="772">
        <f t="shared" si="4"/>
        <v>6.85</v>
      </c>
      <c r="K64" s="772">
        <f t="shared" si="5"/>
        <v>-0.28000000000000003</v>
      </c>
      <c r="L64" s="772"/>
      <c r="M64" s="616"/>
      <c r="N64" s="616">
        <v>11.94</v>
      </c>
      <c r="O64" s="616">
        <v>-0.57000000000000006</v>
      </c>
      <c r="P64" s="772"/>
      <c r="Q64" s="616"/>
      <c r="R64" s="616">
        <v>1.76</v>
      </c>
      <c r="S64" s="616">
        <v>0.01</v>
      </c>
    </row>
    <row r="65" spans="1:19">
      <c r="A65" s="790">
        <f t="shared" si="6"/>
        <v>2.4899999999999896</v>
      </c>
      <c r="B65" s="616" t="s">
        <v>1246</v>
      </c>
      <c r="C65" s="772">
        <f t="shared" si="0"/>
        <v>-660.56000000000006</v>
      </c>
      <c r="D65" s="772">
        <f t="shared" si="1"/>
        <v>-220.95000000000002</v>
      </c>
      <c r="E65" s="772"/>
      <c r="F65" s="772"/>
      <c r="G65" s="772">
        <f t="shared" si="2"/>
        <v>-441</v>
      </c>
      <c r="H65" s="772"/>
      <c r="I65" s="772">
        <f t="shared" si="3"/>
        <v>0</v>
      </c>
      <c r="J65" s="772">
        <f t="shared" si="4"/>
        <v>-440.75500000000005</v>
      </c>
      <c r="K65" s="772">
        <f t="shared" si="5"/>
        <v>0</v>
      </c>
      <c r="L65" s="772"/>
      <c r="M65" s="616"/>
      <c r="N65" s="616">
        <v>-660.56000000000006</v>
      </c>
      <c r="O65" s="616"/>
      <c r="P65" s="772"/>
      <c r="Q65" s="616"/>
      <c r="R65" s="616">
        <v>-220.95000000000002</v>
      </c>
      <c r="S65" s="616"/>
    </row>
    <row r="66" spans="1:19">
      <c r="A66" s="790">
        <f t="shared" si="6"/>
        <v>2.4999999999999893</v>
      </c>
      <c r="B66" s="616" t="s">
        <v>1247</v>
      </c>
      <c r="C66" s="772">
        <f t="shared" si="0"/>
        <v>69711.210000000006</v>
      </c>
      <c r="D66" s="772">
        <f t="shared" si="1"/>
        <v>44775.3</v>
      </c>
      <c r="E66" s="772"/>
      <c r="F66" s="772"/>
      <c r="G66" s="772">
        <f t="shared" si="2"/>
        <v>57243</v>
      </c>
      <c r="H66" s="772"/>
      <c r="I66" s="772">
        <f t="shared" si="3"/>
        <v>0</v>
      </c>
      <c r="J66" s="772">
        <f t="shared" si="4"/>
        <v>0</v>
      </c>
      <c r="K66" s="772">
        <f t="shared" si="5"/>
        <v>57243.255000000005</v>
      </c>
      <c r="L66" s="772"/>
      <c r="M66" s="616"/>
      <c r="N66" s="616"/>
      <c r="O66" s="616">
        <v>69711.210000000006</v>
      </c>
      <c r="P66" s="772"/>
      <c r="Q66" s="616"/>
      <c r="R66" s="616"/>
      <c r="S66" s="616">
        <v>44775.3</v>
      </c>
    </row>
    <row r="67" spans="1:19">
      <c r="A67" s="790">
        <f t="shared" si="6"/>
        <v>2.5099999999999891</v>
      </c>
      <c r="B67" s="616" t="s">
        <v>1248</v>
      </c>
      <c r="C67" s="772">
        <f t="shared" si="0"/>
        <v>69.05</v>
      </c>
      <c r="D67" s="772">
        <f t="shared" si="1"/>
        <v>447.77</v>
      </c>
      <c r="E67" s="772"/>
      <c r="F67" s="772"/>
      <c r="G67" s="772">
        <f t="shared" si="2"/>
        <v>258</v>
      </c>
      <c r="H67" s="772"/>
      <c r="I67" s="772">
        <f t="shared" si="3"/>
        <v>0</v>
      </c>
      <c r="J67" s="772">
        <f t="shared" si="4"/>
        <v>0</v>
      </c>
      <c r="K67" s="772">
        <f t="shared" si="5"/>
        <v>258.40999999999997</v>
      </c>
      <c r="L67" s="772"/>
      <c r="M67" s="616"/>
      <c r="N67" s="616"/>
      <c r="O67" s="616">
        <v>69.05</v>
      </c>
      <c r="P67" s="772"/>
      <c r="Q67" s="616"/>
      <c r="R67" s="616"/>
      <c r="S67" s="616">
        <v>447.77</v>
      </c>
    </row>
    <row r="68" spans="1:19">
      <c r="A68" s="790">
        <f t="shared" si="6"/>
        <v>2.5199999999999889</v>
      </c>
      <c r="B68" s="616" t="s">
        <v>1249</v>
      </c>
      <c r="C68" s="772">
        <f t="shared" si="0"/>
        <v>-0.21</v>
      </c>
      <c r="D68" s="772">
        <f t="shared" si="1"/>
        <v>-0.21</v>
      </c>
      <c r="E68" s="772"/>
      <c r="F68" s="772"/>
      <c r="G68" s="772">
        <f t="shared" si="2"/>
        <v>0</v>
      </c>
      <c r="H68" s="772"/>
      <c r="I68" s="772">
        <f t="shared" si="3"/>
        <v>0</v>
      </c>
      <c r="J68" s="772">
        <f t="shared" si="4"/>
        <v>0</v>
      </c>
      <c r="K68" s="772">
        <f t="shared" si="5"/>
        <v>-0.21</v>
      </c>
      <c r="L68" s="772"/>
      <c r="M68" s="616"/>
      <c r="N68" s="616"/>
      <c r="O68" s="616">
        <v>-0.21</v>
      </c>
      <c r="P68" s="772"/>
      <c r="Q68" s="616"/>
      <c r="R68" s="616"/>
      <c r="S68" s="616">
        <v>-0.21</v>
      </c>
    </row>
    <row r="69" spans="1:19">
      <c r="A69" s="790">
        <f t="shared" si="6"/>
        <v>2.5299999999999887</v>
      </c>
      <c r="B69" s="616" t="s">
        <v>1250</v>
      </c>
      <c r="C69" s="772">
        <f t="shared" si="0"/>
        <v>7902831.6099999994</v>
      </c>
      <c r="D69" s="772">
        <f t="shared" si="1"/>
        <v>8829492.7599999998</v>
      </c>
      <c r="E69" s="772"/>
      <c r="F69" s="772"/>
      <c r="G69" s="772">
        <f t="shared" si="2"/>
        <v>8366162</v>
      </c>
      <c r="H69" s="772"/>
      <c r="I69" s="772">
        <f t="shared" si="3"/>
        <v>0</v>
      </c>
      <c r="J69" s="772">
        <f t="shared" si="4"/>
        <v>1321.635</v>
      </c>
      <c r="K69" s="772">
        <f t="shared" si="5"/>
        <v>8364840.5499999998</v>
      </c>
      <c r="L69" s="772"/>
      <c r="M69" s="616"/>
      <c r="N69" s="616">
        <v>2643.27</v>
      </c>
      <c r="O69" s="616">
        <v>7900188.3399999999</v>
      </c>
      <c r="P69" s="772"/>
      <c r="Q69" s="616"/>
      <c r="R69" s="616"/>
      <c r="S69" s="616">
        <v>8829492.7599999998</v>
      </c>
    </row>
    <row r="70" spans="1:19">
      <c r="A70" s="790">
        <f t="shared" si="6"/>
        <v>2.5399999999999885</v>
      </c>
      <c r="B70" s="616" t="s">
        <v>1251</v>
      </c>
      <c r="C70" s="772">
        <f t="shared" si="0"/>
        <v>0.06</v>
      </c>
      <c r="D70" s="772">
        <f t="shared" si="1"/>
        <v>0</v>
      </c>
      <c r="E70" s="772"/>
      <c r="F70" s="772"/>
      <c r="G70" s="772">
        <f t="shared" si="2"/>
        <v>0</v>
      </c>
      <c r="H70" s="772"/>
      <c r="I70" s="772">
        <f t="shared" si="3"/>
        <v>0</v>
      </c>
      <c r="J70" s="772">
        <f t="shared" si="4"/>
        <v>0</v>
      </c>
      <c r="K70" s="772">
        <f t="shared" si="5"/>
        <v>0.03</v>
      </c>
      <c r="L70" s="772"/>
      <c r="M70" s="616"/>
      <c r="N70" s="616"/>
      <c r="O70" s="616">
        <v>0.06</v>
      </c>
      <c r="P70" s="772"/>
      <c r="Q70" s="616"/>
      <c r="R70" s="616"/>
      <c r="S70" s="616"/>
    </row>
    <row r="71" spans="1:19">
      <c r="A71" s="790">
        <f t="shared" si="6"/>
        <v>2.5499999999999883</v>
      </c>
      <c r="B71" s="616" t="s">
        <v>1252</v>
      </c>
      <c r="C71" s="772">
        <f t="shared" si="0"/>
        <v>434974.13000000006</v>
      </c>
      <c r="D71" s="772">
        <f t="shared" si="1"/>
        <v>573574.66999999993</v>
      </c>
      <c r="E71" s="772"/>
      <c r="F71" s="772"/>
      <c r="G71" s="772">
        <f t="shared" si="2"/>
        <v>504274</v>
      </c>
      <c r="H71" s="772"/>
      <c r="I71" s="772">
        <f t="shared" si="3"/>
        <v>0</v>
      </c>
      <c r="J71" s="772">
        <f t="shared" si="4"/>
        <v>14110.75</v>
      </c>
      <c r="K71" s="772">
        <f t="shared" si="5"/>
        <v>490163.65</v>
      </c>
      <c r="L71" s="772"/>
      <c r="M71" s="616"/>
      <c r="N71" s="616">
        <v>12512.28</v>
      </c>
      <c r="O71" s="616">
        <v>422461.85000000003</v>
      </c>
      <c r="P71" s="772"/>
      <c r="Q71" s="616"/>
      <c r="R71" s="616">
        <v>15709.220000000001</v>
      </c>
      <c r="S71" s="616">
        <v>557865.44999999995</v>
      </c>
    </row>
    <row r="72" spans="1:19">
      <c r="A72" s="790">
        <f t="shared" si="6"/>
        <v>2.5599999999999881</v>
      </c>
      <c r="B72" s="616" t="s">
        <v>1253</v>
      </c>
      <c r="C72" s="772">
        <f t="shared" si="0"/>
        <v>34914.639999999999</v>
      </c>
      <c r="D72" s="772">
        <f t="shared" si="1"/>
        <v>34914.639999999999</v>
      </c>
      <c r="E72" s="772"/>
      <c r="F72" s="772"/>
      <c r="G72" s="772">
        <f t="shared" si="2"/>
        <v>34915</v>
      </c>
      <c r="H72" s="772"/>
      <c r="I72" s="772">
        <f t="shared" si="3"/>
        <v>0</v>
      </c>
      <c r="J72" s="772">
        <f t="shared" si="4"/>
        <v>34914.639999999999</v>
      </c>
      <c r="K72" s="772">
        <f t="shared" si="5"/>
        <v>0</v>
      </c>
      <c r="L72" s="772"/>
      <c r="M72" s="616"/>
      <c r="N72" s="616">
        <v>34914.639999999999</v>
      </c>
      <c r="O72" s="616"/>
      <c r="P72" s="772"/>
      <c r="Q72" s="616"/>
      <c r="R72" s="616">
        <v>34914.639999999999</v>
      </c>
      <c r="S72" s="616"/>
    </row>
    <row r="73" spans="1:19">
      <c r="A73" s="790">
        <f t="shared" si="6"/>
        <v>2.5699999999999878</v>
      </c>
      <c r="B73" s="616" t="s">
        <v>1254</v>
      </c>
      <c r="C73" s="772">
        <f t="shared" si="0"/>
        <v>96015.28</v>
      </c>
      <c r="D73" s="772">
        <f t="shared" si="1"/>
        <v>61100.639999999999</v>
      </c>
      <c r="E73" s="772"/>
      <c r="F73" s="772"/>
      <c r="G73" s="772">
        <f t="shared" si="2"/>
        <v>78558</v>
      </c>
      <c r="H73" s="772"/>
      <c r="I73" s="772">
        <f t="shared" si="3"/>
        <v>0</v>
      </c>
      <c r="J73" s="772">
        <f t="shared" si="4"/>
        <v>78557.959999999992</v>
      </c>
      <c r="K73" s="772">
        <f t="shared" si="5"/>
        <v>0</v>
      </c>
      <c r="L73" s="772"/>
      <c r="M73" s="616"/>
      <c r="N73" s="616">
        <v>96015.28</v>
      </c>
      <c r="O73" s="616"/>
      <c r="P73" s="772"/>
      <c r="Q73" s="616"/>
      <c r="R73" s="616">
        <v>61100.639999999999</v>
      </c>
      <c r="S73" s="616"/>
    </row>
    <row r="74" spans="1:19">
      <c r="A74" s="790">
        <f t="shared" si="6"/>
        <v>2.5799999999999876</v>
      </c>
      <c r="B74" s="616" t="s">
        <v>1255</v>
      </c>
      <c r="C74" s="772">
        <f t="shared" si="0"/>
        <v>-7712.3</v>
      </c>
      <c r="D74" s="772">
        <f t="shared" si="1"/>
        <v>79741.759999999995</v>
      </c>
      <c r="E74" s="772"/>
      <c r="F74" s="772"/>
      <c r="G74" s="772">
        <f t="shared" si="2"/>
        <v>36015</v>
      </c>
      <c r="H74" s="772"/>
      <c r="I74" s="772">
        <f t="shared" si="3"/>
        <v>0</v>
      </c>
      <c r="J74" s="772">
        <f t="shared" si="4"/>
        <v>0</v>
      </c>
      <c r="K74" s="772">
        <f t="shared" si="5"/>
        <v>36014.729999999996</v>
      </c>
      <c r="L74" s="772"/>
      <c r="M74" s="616"/>
      <c r="N74" s="616"/>
      <c r="O74" s="616">
        <v>-7712.3</v>
      </c>
      <c r="P74" s="772"/>
      <c r="Q74" s="616"/>
      <c r="R74" s="616"/>
      <c r="S74" s="616">
        <v>79741.759999999995</v>
      </c>
    </row>
    <row r="75" spans="1:19">
      <c r="A75" s="790">
        <f t="shared" si="6"/>
        <v>2.5899999999999874</v>
      </c>
      <c r="B75" s="616" t="s">
        <v>1256</v>
      </c>
      <c r="C75" s="772">
        <f t="shared" si="0"/>
        <v>-693.62</v>
      </c>
      <c r="D75" s="772">
        <f t="shared" si="1"/>
        <v>-693.62</v>
      </c>
      <c r="E75" s="772"/>
      <c r="F75" s="772"/>
      <c r="G75" s="772">
        <f t="shared" si="2"/>
        <v>-694</v>
      </c>
      <c r="H75" s="772"/>
      <c r="I75" s="772">
        <f t="shared" si="3"/>
        <v>0</v>
      </c>
      <c r="J75" s="772">
        <f t="shared" si="4"/>
        <v>0</v>
      </c>
      <c r="K75" s="772">
        <f t="shared" si="5"/>
        <v>-693.62</v>
      </c>
      <c r="L75" s="772"/>
      <c r="M75" s="616"/>
      <c r="N75" s="616"/>
      <c r="O75" s="616">
        <v>-693.62</v>
      </c>
      <c r="P75" s="772"/>
      <c r="Q75" s="616"/>
      <c r="R75" s="616"/>
      <c r="S75" s="616">
        <v>-693.62</v>
      </c>
    </row>
    <row r="76" spans="1:19">
      <c r="A76" s="790">
        <f t="shared" si="6"/>
        <v>2.5999999999999872</v>
      </c>
      <c r="B76" s="616" t="s">
        <v>1257</v>
      </c>
      <c r="C76" s="772">
        <f t="shared" si="0"/>
        <v>341836</v>
      </c>
      <c r="D76" s="772">
        <f t="shared" si="1"/>
        <v>328209.55</v>
      </c>
      <c r="E76" s="772"/>
      <c r="F76" s="772"/>
      <c r="G76" s="772">
        <f t="shared" si="2"/>
        <v>335023</v>
      </c>
      <c r="H76" s="772"/>
      <c r="I76" s="772">
        <f t="shared" si="3"/>
        <v>0</v>
      </c>
      <c r="J76" s="772">
        <f t="shared" si="4"/>
        <v>58481.495000000003</v>
      </c>
      <c r="K76" s="772">
        <f t="shared" si="5"/>
        <v>276541.28000000003</v>
      </c>
      <c r="L76" s="772"/>
      <c r="M76" s="616"/>
      <c r="N76" s="616">
        <v>58854.76</v>
      </c>
      <c r="O76" s="616">
        <v>282981.24</v>
      </c>
      <c r="P76" s="772"/>
      <c r="Q76" s="616"/>
      <c r="R76" s="616">
        <v>58108.23</v>
      </c>
      <c r="S76" s="616">
        <v>270101.32</v>
      </c>
    </row>
    <row r="77" spans="1:19">
      <c r="A77" s="790">
        <f t="shared" si="6"/>
        <v>2.609999999999987</v>
      </c>
      <c r="B77" s="616" t="s">
        <v>1258</v>
      </c>
      <c r="C77" s="772">
        <f t="shared" si="0"/>
        <v>375.5</v>
      </c>
      <c r="D77" s="772">
        <f t="shared" si="1"/>
        <v>340.88</v>
      </c>
      <c r="E77" s="772"/>
      <c r="F77" s="772"/>
      <c r="G77" s="772">
        <f t="shared" si="2"/>
        <v>358</v>
      </c>
      <c r="H77" s="772"/>
      <c r="I77" s="772">
        <f t="shared" si="3"/>
        <v>0</v>
      </c>
      <c r="J77" s="772">
        <f t="shared" si="4"/>
        <v>0.01</v>
      </c>
      <c r="K77" s="772">
        <f t="shared" si="5"/>
        <v>358.18</v>
      </c>
      <c r="L77" s="772"/>
      <c r="M77" s="616"/>
      <c r="N77" s="616">
        <v>0.02</v>
      </c>
      <c r="O77" s="616">
        <v>375.48</v>
      </c>
      <c r="P77" s="772"/>
      <c r="Q77" s="616"/>
      <c r="R77" s="616"/>
      <c r="S77" s="616">
        <v>340.88</v>
      </c>
    </row>
    <row r="78" spans="1:19">
      <c r="A78" s="790">
        <f t="shared" si="6"/>
        <v>2.6199999999999868</v>
      </c>
      <c r="B78" s="616" t="s">
        <v>1259</v>
      </c>
      <c r="C78" s="772">
        <f t="shared" si="0"/>
        <v>-16853.16</v>
      </c>
      <c r="D78" s="772">
        <f t="shared" si="1"/>
        <v>-58680.670000000006</v>
      </c>
      <c r="E78" s="772"/>
      <c r="F78" s="772"/>
      <c r="G78" s="772">
        <f t="shared" si="2"/>
        <v>-37767</v>
      </c>
      <c r="H78" s="772"/>
      <c r="I78" s="772">
        <f t="shared" si="3"/>
        <v>0</v>
      </c>
      <c r="J78" s="772">
        <f t="shared" si="4"/>
        <v>10820.105</v>
      </c>
      <c r="K78" s="772">
        <f t="shared" si="5"/>
        <v>-48587.020000000004</v>
      </c>
      <c r="L78" s="772"/>
      <c r="M78" s="616"/>
      <c r="N78" s="616">
        <v>11490.95</v>
      </c>
      <c r="O78" s="616">
        <v>-28344.11</v>
      </c>
      <c r="P78" s="772"/>
      <c r="Q78" s="616"/>
      <c r="R78" s="616">
        <v>10149.26</v>
      </c>
      <c r="S78" s="616">
        <v>-68829.930000000008</v>
      </c>
    </row>
    <row r="79" spans="1:19">
      <c r="A79" s="790">
        <f t="shared" si="6"/>
        <v>2.6299999999999866</v>
      </c>
      <c r="B79" s="616" t="s">
        <v>1260</v>
      </c>
      <c r="C79" s="772">
        <f t="shared" si="0"/>
        <v>63972.82</v>
      </c>
      <c r="D79" s="772">
        <f t="shared" si="1"/>
        <v>142537.33000000002</v>
      </c>
      <c r="E79" s="772"/>
      <c r="F79" s="772"/>
      <c r="G79" s="772">
        <f t="shared" si="2"/>
        <v>103255</v>
      </c>
      <c r="H79" s="772"/>
      <c r="I79" s="772">
        <f t="shared" si="3"/>
        <v>0</v>
      </c>
      <c r="J79" s="772">
        <f t="shared" si="4"/>
        <v>0</v>
      </c>
      <c r="K79" s="772">
        <f t="shared" si="5"/>
        <v>103255.07500000001</v>
      </c>
      <c r="L79" s="772"/>
      <c r="M79" s="616"/>
      <c r="N79" s="616"/>
      <c r="O79" s="616">
        <v>63972.82</v>
      </c>
      <c r="P79" s="772"/>
      <c r="Q79" s="616"/>
      <c r="R79" s="616"/>
      <c r="S79" s="616">
        <v>142537.33000000002</v>
      </c>
    </row>
    <row r="80" spans="1:19">
      <c r="A80" s="790">
        <f t="shared" si="6"/>
        <v>2.6399999999999864</v>
      </c>
      <c r="B80" s="616" t="s">
        <v>1261</v>
      </c>
      <c r="C80" s="772">
        <f t="shared" si="0"/>
        <v>26810.84</v>
      </c>
      <c r="D80" s="772">
        <f t="shared" si="1"/>
        <v>-0.01</v>
      </c>
      <c r="E80" s="772"/>
      <c r="F80" s="772"/>
      <c r="G80" s="772">
        <f t="shared" si="2"/>
        <v>13405</v>
      </c>
      <c r="H80" s="772"/>
      <c r="I80" s="772">
        <f t="shared" si="3"/>
        <v>0</v>
      </c>
      <c r="J80" s="772">
        <f t="shared" si="4"/>
        <v>0</v>
      </c>
      <c r="K80" s="772">
        <f t="shared" si="5"/>
        <v>13405.415000000001</v>
      </c>
      <c r="L80" s="772"/>
      <c r="M80" s="616"/>
      <c r="N80" s="616"/>
      <c r="O80" s="616">
        <v>26810.84</v>
      </c>
      <c r="P80" s="772"/>
      <c r="Q80" s="616"/>
      <c r="R80" s="616"/>
      <c r="S80" s="616">
        <v>-0.01</v>
      </c>
    </row>
    <row r="81" spans="1:19">
      <c r="A81" s="790">
        <f t="shared" si="6"/>
        <v>2.6499999999999861</v>
      </c>
      <c r="B81" s="616" t="s">
        <v>1262</v>
      </c>
      <c r="C81" s="772">
        <f t="shared" si="0"/>
        <v>0</v>
      </c>
      <c r="D81" s="772">
        <f t="shared" si="1"/>
        <v>0</v>
      </c>
      <c r="E81" s="772"/>
      <c r="F81" s="772"/>
      <c r="G81" s="772">
        <f t="shared" si="2"/>
        <v>0</v>
      </c>
      <c r="H81" s="772"/>
      <c r="I81" s="772">
        <f t="shared" si="3"/>
        <v>0</v>
      </c>
      <c r="J81" s="772">
        <f t="shared" si="4"/>
        <v>0</v>
      </c>
      <c r="K81" s="772">
        <f t="shared" si="5"/>
        <v>0</v>
      </c>
      <c r="L81" s="772"/>
      <c r="M81" s="616"/>
      <c r="N81" s="616"/>
      <c r="O81" s="616">
        <v>0</v>
      </c>
      <c r="P81" s="772"/>
      <c r="Q81" s="616"/>
      <c r="R81" s="616"/>
      <c r="S81" s="616"/>
    </row>
    <row r="82" spans="1:19">
      <c r="A82" s="790">
        <f t="shared" si="6"/>
        <v>2.6599999999999859</v>
      </c>
      <c r="B82" s="616" t="s">
        <v>1263</v>
      </c>
      <c r="C82" s="772">
        <f t="shared" ref="C82:C111" si="13">SUM(M82:O82)</f>
        <v>0</v>
      </c>
      <c r="D82" s="772">
        <f t="shared" ref="D82:D111" si="14">SUM(Q82:S82)</f>
        <v>0</v>
      </c>
      <c r="E82" s="772"/>
      <c r="F82" s="772"/>
      <c r="G82" s="772">
        <f t="shared" ref="G82:G111" si="15">ROUND(SUM(C82:F82)/2,0)</f>
        <v>0</v>
      </c>
      <c r="H82" s="772"/>
      <c r="I82" s="772">
        <f t="shared" ref="I82:I111" si="16">(M82+Q82)/2</f>
        <v>0</v>
      </c>
      <c r="J82" s="772">
        <f t="shared" ref="J82:J111" si="17">(N82+R82)/2</f>
        <v>0</v>
      </c>
      <c r="K82" s="772">
        <f t="shared" ref="K82:K111" si="18">(O82+S82)/2</f>
        <v>0</v>
      </c>
      <c r="L82" s="772"/>
      <c r="M82" s="616"/>
      <c r="N82" s="616"/>
      <c r="O82" s="616">
        <v>0</v>
      </c>
      <c r="P82" s="772"/>
      <c r="Q82" s="616"/>
      <c r="R82" s="616"/>
      <c r="S82" s="616"/>
    </row>
    <row r="83" spans="1:19">
      <c r="A83" s="790">
        <f t="shared" si="6"/>
        <v>2.6699999999999857</v>
      </c>
      <c r="B83" s="616" t="s">
        <v>1264</v>
      </c>
      <c r="C83" s="772">
        <f t="shared" si="13"/>
        <v>63602.48</v>
      </c>
      <c r="D83" s="772">
        <f t="shared" si="14"/>
        <v>30298.54</v>
      </c>
      <c r="E83" s="772"/>
      <c r="F83" s="772"/>
      <c r="G83" s="772">
        <f t="shared" si="15"/>
        <v>46951</v>
      </c>
      <c r="H83" s="772"/>
      <c r="I83" s="772">
        <f t="shared" si="16"/>
        <v>0</v>
      </c>
      <c r="J83" s="772">
        <f t="shared" si="17"/>
        <v>46950.51</v>
      </c>
      <c r="K83" s="772">
        <f t="shared" si="18"/>
        <v>0</v>
      </c>
      <c r="L83" s="772"/>
      <c r="M83" s="616"/>
      <c r="N83" s="616">
        <v>63602.48</v>
      </c>
      <c r="O83" s="616"/>
      <c r="P83" s="772"/>
      <c r="Q83" s="616"/>
      <c r="R83" s="616">
        <v>30298.54</v>
      </c>
      <c r="S83" s="616"/>
    </row>
    <row r="84" spans="1:19">
      <c r="A84" s="790">
        <f t="shared" si="6"/>
        <v>2.6799999999999855</v>
      </c>
      <c r="B84" s="616" t="s">
        <v>1265</v>
      </c>
      <c r="C84" s="772">
        <f t="shared" si="13"/>
        <v>82491.06</v>
      </c>
      <c r="D84" s="772">
        <f t="shared" si="14"/>
        <v>107593.77</v>
      </c>
      <c r="E84" s="772"/>
      <c r="F84" s="772"/>
      <c r="G84" s="772">
        <f t="shared" si="15"/>
        <v>95042</v>
      </c>
      <c r="H84" s="772"/>
      <c r="I84" s="772">
        <f t="shared" si="16"/>
        <v>0</v>
      </c>
      <c r="J84" s="772">
        <f t="shared" si="17"/>
        <v>0</v>
      </c>
      <c r="K84" s="772">
        <f t="shared" si="18"/>
        <v>95042.415000000008</v>
      </c>
      <c r="L84" s="772"/>
      <c r="M84" s="616"/>
      <c r="N84" s="616"/>
      <c r="O84" s="616">
        <v>82491.06</v>
      </c>
      <c r="P84" s="772"/>
      <c r="Q84" s="616"/>
      <c r="R84" s="616"/>
      <c r="S84" s="616">
        <v>107593.77</v>
      </c>
    </row>
    <row r="85" spans="1:19">
      <c r="A85" s="790">
        <f t="shared" si="6"/>
        <v>2.6899999999999853</v>
      </c>
      <c r="B85" s="616" t="s">
        <v>1266</v>
      </c>
      <c r="C85" s="772">
        <f t="shared" si="13"/>
        <v>126971.46</v>
      </c>
      <c r="D85" s="772">
        <f t="shared" si="14"/>
        <v>0</v>
      </c>
      <c r="E85" s="772"/>
      <c r="F85" s="772"/>
      <c r="G85" s="772">
        <f t="shared" si="15"/>
        <v>63486</v>
      </c>
      <c r="H85" s="772"/>
      <c r="I85" s="772">
        <f t="shared" si="16"/>
        <v>0</v>
      </c>
      <c r="J85" s="772">
        <f t="shared" si="17"/>
        <v>0</v>
      </c>
      <c r="K85" s="772">
        <f t="shared" si="18"/>
        <v>63485.73</v>
      </c>
      <c r="L85" s="772"/>
      <c r="M85" s="616"/>
      <c r="N85" s="616"/>
      <c r="O85" s="616">
        <v>126971.46</v>
      </c>
      <c r="P85" s="772"/>
      <c r="Q85" s="616"/>
      <c r="R85" s="616"/>
      <c r="S85" s="616"/>
    </row>
    <row r="86" spans="1:19">
      <c r="A86" s="790">
        <f t="shared" si="6"/>
        <v>2.6999999999999851</v>
      </c>
      <c r="B86" s="616" t="s">
        <v>1267</v>
      </c>
      <c r="C86" s="772">
        <f t="shared" si="13"/>
        <v>609.12</v>
      </c>
      <c r="D86" s="772">
        <f t="shared" si="14"/>
        <v>609.12</v>
      </c>
      <c r="E86" s="772"/>
      <c r="F86" s="772"/>
      <c r="G86" s="772">
        <f t="shared" si="15"/>
        <v>609</v>
      </c>
      <c r="H86" s="772"/>
      <c r="I86" s="772">
        <f t="shared" si="16"/>
        <v>0</v>
      </c>
      <c r="J86" s="772">
        <f t="shared" si="17"/>
        <v>0</v>
      </c>
      <c r="K86" s="772">
        <f t="shared" si="18"/>
        <v>609.12</v>
      </c>
      <c r="L86" s="772"/>
      <c r="M86" s="616"/>
      <c r="N86" s="616"/>
      <c r="O86" s="616">
        <v>609.12</v>
      </c>
      <c r="P86" s="772"/>
      <c r="Q86" s="616"/>
      <c r="R86" s="616"/>
      <c r="S86" s="616">
        <v>609.12</v>
      </c>
    </row>
    <row r="87" spans="1:19">
      <c r="A87" s="790">
        <f t="shared" si="6"/>
        <v>2.7099999999999849</v>
      </c>
      <c r="B87" s="616" t="s">
        <v>1268</v>
      </c>
      <c r="C87" s="772">
        <f t="shared" si="13"/>
        <v>0</v>
      </c>
      <c r="D87" s="772">
        <f t="shared" si="14"/>
        <v>4574.72</v>
      </c>
      <c r="E87" s="772"/>
      <c r="F87" s="772"/>
      <c r="G87" s="772">
        <f t="shared" si="15"/>
        <v>2287</v>
      </c>
      <c r="H87" s="772"/>
      <c r="I87" s="772">
        <f t="shared" si="16"/>
        <v>0</v>
      </c>
      <c r="J87" s="772">
        <f t="shared" si="17"/>
        <v>2287.36</v>
      </c>
      <c r="K87" s="772">
        <f t="shared" si="18"/>
        <v>0</v>
      </c>
      <c r="L87" s="772"/>
      <c r="M87" s="616"/>
      <c r="N87" s="616">
        <v>0</v>
      </c>
      <c r="O87" s="616"/>
      <c r="P87" s="772"/>
      <c r="Q87" s="616"/>
      <c r="R87" s="616">
        <v>4574.72</v>
      </c>
      <c r="S87" s="616"/>
    </row>
    <row r="88" spans="1:19">
      <c r="A88" s="790">
        <f t="shared" si="6"/>
        <v>2.7199999999999847</v>
      </c>
      <c r="B88" s="616" t="s">
        <v>1269</v>
      </c>
      <c r="C88" s="772">
        <f t="shared" si="13"/>
        <v>33531.550000000003</v>
      </c>
      <c r="D88" s="772">
        <f t="shared" si="14"/>
        <v>65728.240000000005</v>
      </c>
      <c r="E88" s="772"/>
      <c r="F88" s="772"/>
      <c r="G88" s="772">
        <f t="shared" si="15"/>
        <v>49630</v>
      </c>
      <c r="H88" s="772"/>
      <c r="I88" s="772">
        <f t="shared" si="16"/>
        <v>0</v>
      </c>
      <c r="J88" s="772">
        <f t="shared" si="17"/>
        <v>0</v>
      </c>
      <c r="K88" s="772">
        <f t="shared" si="18"/>
        <v>49629.895000000004</v>
      </c>
      <c r="L88" s="772"/>
      <c r="M88" s="616"/>
      <c r="N88" s="616"/>
      <c r="O88" s="616">
        <v>33531.550000000003</v>
      </c>
      <c r="P88" s="772"/>
      <c r="Q88" s="616"/>
      <c r="R88" s="616"/>
      <c r="S88" s="616">
        <v>65728.240000000005</v>
      </c>
    </row>
    <row r="89" spans="1:19">
      <c r="A89" s="790">
        <f t="shared" si="6"/>
        <v>2.7299999999999844</v>
      </c>
      <c r="B89" s="616" t="s">
        <v>1270</v>
      </c>
      <c r="C89" s="772">
        <f t="shared" si="13"/>
        <v>0.03</v>
      </c>
      <c r="D89" s="772">
        <f t="shared" si="14"/>
        <v>0.03</v>
      </c>
      <c r="E89" s="772"/>
      <c r="F89" s="772"/>
      <c r="G89" s="772">
        <f t="shared" si="15"/>
        <v>0</v>
      </c>
      <c r="H89" s="772"/>
      <c r="I89" s="772">
        <f t="shared" si="16"/>
        <v>0</v>
      </c>
      <c r="J89" s="772">
        <f t="shared" si="17"/>
        <v>0</v>
      </c>
      <c r="K89" s="772">
        <f t="shared" si="18"/>
        <v>0.03</v>
      </c>
      <c r="L89" s="772"/>
      <c r="M89" s="616"/>
      <c r="N89" s="616"/>
      <c r="O89" s="616">
        <v>0.03</v>
      </c>
      <c r="P89" s="772"/>
      <c r="Q89" s="616"/>
      <c r="R89" s="616"/>
      <c r="S89" s="616">
        <v>0.03</v>
      </c>
    </row>
    <row r="90" spans="1:19">
      <c r="A90" s="790">
        <f t="shared" si="6"/>
        <v>2.7399999999999842</v>
      </c>
      <c r="B90" s="616" t="s">
        <v>1271</v>
      </c>
      <c r="C90" s="772">
        <f t="shared" si="13"/>
        <v>3083.98</v>
      </c>
      <c r="D90" s="772">
        <f t="shared" si="14"/>
        <v>2727.56</v>
      </c>
      <c r="E90" s="772"/>
      <c r="F90" s="772"/>
      <c r="G90" s="772">
        <f t="shared" si="15"/>
        <v>2906</v>
      </c>
      <c r="H90" s="772"/>
      <c r="I90" s="772">
        <f t="shared" si="16"/>
        <v>0</v>
      </c>
      <c r="J90" s="772">
        <f t="shared" si="17"/>
        <v>-0.01</v>
      </c>
      <c r="K90" s="772">
        <f t="shared" si="18"/>
        <v>2905.78</v>
      </c>
      <c r="L90" s="772"/>
      <c r="M90" s="616"/>
      <c r="N90" s="616">
        <v>-0.01</v>
      </c>
      <c r="O90" s="616">
        <v>3083.9900000000002</v>
      </c>
      <c r="P90" s="772"/>
      <c r="Q90" s="616"/>
      <c r="R90" s="616">
        <v>-0.01</v>
      </c>
      <c r="S90" s="616">
        <v>2727.57</v>
      </c>
    </row>
    <row r="91" spans="1:19">
      <c r="A91" s="790">
        <f t="shared" si="6"/>
        <v>2.749999999999984</v>
      </c>
      <c r="B91" s="616" t="s">
        <v>1272</v>
      </c>
      <c r="C91" s="772">
        <f t="shared" si="13"/>
        <v>-16378652.289999999</v>
      </c>
      <c r="D91" s="772">
        <f t="shared" si="14"/>
        <v>-25563652.77</v>
      </c>
      <c r="E91" s="772"/>
      <c r="F91" s="772"/>
      <c r="G91" s="772">
        <f t="shared" si="15"/>
        <v>-20971153</v>
      </c>
      <c r="H91" s="772"/>
      <c r="I91" s="772">
        <f t="shared" si="16"/>
        <v>0</v>
      </c>
      <c r="J91" s="772">
        <f t="shared" si="17"/>
        <v>-3525650</v>
      </c>
      <c r="K91" s="772">
        <f t="shared" si="18"/>
        <v>-17445502.530000001</v>
      </c>
      <c r="L91" s="772"/>
      <c r="M91" s="616"/>
      <c r="N91" s="616">
        <v>-3641595.3</v>
      </c>
      <c r="O91" s="616">
        <v>-12737056.99</v>
      </c>
      <c r="P91" s="772"/>
      <c r="Q91" s="616"/>
      <c r="R91" s="616">
        <v>-3409704.7</v>
      </c>
      <c r="S91" s="616">
        <v>-22153948.07</v>
      </c>
    </row>
    <row r="92" spans="1:19">
      <c r="A92" s="790">
        <f t="shared" si="6"/>
        <v>2.7599999999999838</v>
      </c>
      <c r="B92" s="616" t="s">
        <v>1273</v>
      </c>
      <c r="C92" s="772">
        <f t="shared" si="13"/>
        <v>-1433302.2599999998</v>
      </c>
      <c r="D92" s="772">
        <f t="shared" si="14"/>
        <v>-4990587.0500000007</v>
      </c>
      <c r="E92" s="772"/>
      <c r="F92" s="772"/>
      <c r="G92" s="772">
        <f t="shared" si="15"/>
        <v>-3211945</v>
      </c>
      <c r="H92" s="772"/>
      <c r="I92" s="772">
        <f t="shared" si="16"/>
        <v>0</v>
      </c>
      <c r="J92" s="772">
        <f t="shared" si="17"/>
        <v>920213.005</v>
      </c>
      <c r="K92" s="772">
        <f t="shared" si="18"/>
        <v>-4132157.66</v>
      </c>
      <c r="L92" s="772"/>
      <c r="M92" s="616"/>
      <c r="N92" s="616">
        <v>977266.12</v>
      </c>
      <c r="O92" s="616">
        <v>-2410568.38</v>
      </c>
      <c r="P92" s="772"/>
      <c r="Q92" s="616"/>
      <c r="R92" s="616">
        <v>863159.89</v>
      </c>
      <c r="S92" s="616">
        <v>-5853746.9400000004</v>
      </c>
    </row>
    <row r="93" spans="1:19">
      <c r="A93" s="790">
        <f t="shared" si="6"/>
        <v>2.7699999999999836</v>
      </c>
      <c r="B93" s="616" t="s">
        <v>1274</v>
      </c>
      <c r="C93" s="772">
        <f t="shared" si="13"/>
        <v>847275.39</v>
      </c>
      <c r="D93" s="772">
        <f t="shared" si="14"/>
        <v>845969.22</v>
      </c>
      <c r="E93" s="772"/>
      <c r="F93" s="772"/>
      <c r="G93" s="772">
        <f t="shared" si="15"/>
        <v>846622</v>
      </c>
      <c r="H93" s="772"/>
      <c r="I93" s="772">
        <f t="shared" si="16"/>
        <v>0</v>
      </c>
      <c r="J93" s="772">
        <f t="shared" si="17"/>
        <v>34915.255000000005</v>
      </c>
      <c r="K93" s="772">
        <f t="shared" si="18"/>
        <v>811707.05</v>
      </c>
      <c r="L93" s="772"/>
      <c r="M93" s="616"/>
      <c r="N93" s="616">
        <v>40099.26</v>
      </c>
      <c r="O93" s="616">
        <v>807176.13</v>
      </c>
      <c r="P93" s="772"/>
      <c r="Q93" s="616"/>
      <c r="R93" s="616">
        <v>29731.25</v>
      </c>
      <c r="S93" s="616">
        <v>816237.97</v>
      </c>
    </row>
    <row r="94" spans="1:19">
      <c r="A94" s="790">
        <f t="shared" si="6"/>
        <v>2.7799999999999834</v>
      </c>
      <c r="B94" s="616" t="s">
        <v>1275</v>
      </c>
      <c r="C94" s="777">
        <f t="shared" si="13"/>
        <v>11693723.109999999</v>
      </c>
      <c r="D94" s="777">
        <f t="shared" si="14"/>
        <v>12388871.880000001</v>
      </c>
      <c r="E94" s="777"/>
      <c r="F94" s="777"/>
      <c r="G94" s="777">
        <f t="shared" si="15"/>
        <v>12041297</v>
      </c>
      <c r="H94" s="777"/>
      <c r="I94" s="777">
        <f t="shared" si="16"/>
        <v>0</v>
      </c>
      <c r="J94" s="777">
        <f t="shared" si="17"/>
        <v>11611551.210000001</v>
      </c>
      <c r="K94" s="777">
        <f t="shared" si="18"/>
        <v>429746.28500000003</v>
      </c>
      <c r="L94" s="777"/>
      <c r="M94" s="616"/>
      <c r="N94" s="616">
        <v>11268201.949999999</v>
      </c>
      <c r="O94" s="616">
        <v>425521.16000000003</v>
      </c>
      <c r="P94" s="772"/>
      <c r="Q94" s="616"/>
      <c r="R94" s="616">
        <v>11954900.470000001</v>
      </c>
      <c r="S94" s="616">
        <v>433971.41000000003</v>
      </c>
    </row>
    <row r="95" spans="1:19">
      <c r="A95" s="790">
        <f t="shared" si="6"/>
        <v>2.7899999999999832</v>
      </c>
      <c r="B95" s="616" t="s">
        <v>1276</v>
      </c>
      <c r="C95" s="772">
        <f t="shared" si="13"/>
        <v>-0.02</v>
      </c>
      <c r="D95" s="772">
        <f t="shared" si="14"/>
        <v>-0.02</v>
      </c>
      <c r="E95" s="772"/>
      <c r="F95" s="772"/>
      <c r="G95" s="772">
        <f t="shared" si="15"/>
        <v>0</v>
      </c>
      <c r="H95" s="772"/>
      <c r="I95" s="772">
        <f t="shared" si="16"/>
        <v>0</v>
      </c>
      <c r="J95" s="772">
        <f t="shared" si="17"/>
        <v>-0.01</v>
      </c>
      <c r="K95" s="772">
        <f t="shared" si="18"/>
        <v>-0.01</v>
      </c>
      <c r="L95" s="772"/>
      <c r="M95" s="616"/>
      <c r="N95" s="616">
        <v>-0.01</v>
      </c>
      <c r="O95" s="616">
        <v>-0.01</v>
      </c>
      <c r="P95" s="772"/>
      <c r="Q95" s="616"/>
      <c r="R95" s="616">
        <v>-0.01</v>
      </c>
      <c r="S95" s="616">
        <v>-0.01</v>
      </c>
    </row>
    <row r="96" spans="1:19">
      <c r="A96" s="790">
        <f t="shared" si="6"/>
        <v>2.7999999999999829</v>
      </c>
      <c r="B96" s="616" t="s">
        <v>1277</v>
      </c>
      <c r="C96" s="772">
        <f t="shared" si="13"/>
        <v>12597011.33</v>
      </c>
      <c r="D96" s="772">
        <f t="shared" si="14"/>
        <v>10380108.84</v>
      </c>
      <c r="E96" s="772"/>
      <c r="F96" s="772"/>
      <c r="G96" s="772">
        <f t="shared" si="15"/>
        <v>11488560</v>
      </c>
      <c r="H96" s="772"/>
      <c r="I96" s="772">
        <f t="shared" si="16"/>
        <v>0</v>
      </c>
      <c r="J96" s="772">
        <f t="shared" si="17"/>
        <v>193776.35500000001</v>
      </c>
      <c r="K96" s="772">
        <f t="shared" si="18"/>
        <v>11294783.73</v>
      </c>
      <c r="L96" s="772"/>
      <c r="M96" s="616"/>
      <c r="N96" s="616">
        <v>238160.85</v>
      </c>
      <c r="O96" s="616">
        <v>12358850.48</v>
      </c>
      <c r="P96" s="772"/>
      <c r="Q96" s="616"/>
      <c r="R96" s="616">
        <v>149391.86000000002</v>
      </c>
      <c r="S96" s="616">
        <v>10230716.98</v>
      </c>
    </row>
    <row r="97" spans="1:19">
      <c r="A97" s="790">
        <f t="shared" si="6"/>
        <v>2.8099999999999827</v>
      </c>
      <c r="B97" s="616" t="s">
        <v>1278</v>
      </c>
      <c r="C97" s="772">
        <f t="shared" si="13"/>
        <v>147331.57999999999</v>
      </c>
      <c r="D97" s="772">
        <f t="shared" si="14"/>
        <v>121256.31</v>
      </c>
      <c r="E97" s="772"/>
      <c r="F97" s="772"/>
      <c r="G97" s="772">
        <f t="shared" si="15"/>
        <v>134294</v>
      </c>
      <c r="H97" s="772"/>
      <c r="I97" s="772">
        <f t="shared" si="16"/>
        <v>0</v>
      </c>
      <c r="J97" s="772">
        <f t="shared" si="17"/>
        <v>2278.83</v>
      </c>
      <c r="K97" s="772">
        <f t="shared" si="18"/>
        <v>132015.11499999999</v>
      </c>
      <c r="L97" s="772"/>
      <c r="M97" s="616"/>
      <c r="N97" s="616">
        <v>2802.18</v>
      </c>
      <c r="O97" s="616">
        <v>144529.4</v>
      </c>
      <c r="P97" s="772"/>
      <c r="Q97" s="616"/>
      <c r="R97" s="616">
        <v>1755.48</v>
      </c>
      <c r="S97" s="616">
        <v>119500.83</v>
      </c>
    </row>
    <row r="98" spans="1:19">
      <c r="A98" s="790">
        <f t="shared" si="6"/>
        <v>2.8199999999999825</v>
      </c>
      <c r="B98" s="616" t="s">
        <v>1279</v>
      </c>
      <c r="C98" s="772">
        <f t="shared" si="13"/>
        <v>9962.5</v>
      </c>
      <c r="D98" s="772">
        <f t="shared" si="14"/>
        <v>9947.1400000000012</v>
      </c>
      <c r="E98" s="772"/>
      <c r="F98" s="772"/>
      <c r="G98" s="772">
        <f t="shared" si="15"/>
        <v>9955</v>
      </c>
      <c r="H98" s="772"/>
      <c r="I98" s="772">
        <f t="shared" si="16"/>
        <v>0</v>
      </c>
      <c r="J98" s="772">
        <f t="shared" si="17"/>
        <v>410.54500000000002</v>
      </c>
      <c r="K98" s="772">
        <f t="shared" si="18"/>
        <v>9544.2750000000015</v>
      </c>
      <c r="L98" s="772"/>
      <c r="M98" s="616"/>
      <c r="N98" s="616">
        <v>471.5</v>
      </c>
      <c r="O98" s="616">
        <v>9491</v>
      </c>
      <c r="P98" s="772"/>
      <c r="Q98" s="616"/>
      <c r="R98" s="616">
        <v>349.59000000000003</v>
      </c>
      <c r="S98" s="616">
        <v>9597.5500000000011</v>
      </c>
    </row>
    <row r="99" spans="1:19">
      <c r="A99" s="790">
        <f t="shared" si="6"/>
        <v>2.8299999999999823</v>
      </c>
      <c r="B99" s="616" t="s">
        <v>1280</v>
      </c>
      <c r="C99" s="772">
        <f t="shared" si="13"/>
        <v>965.86</v>
      </c>
      <c r="D99" s="772">
        <f t="shared" si="14"/>
        <v>965.86</v>
      </c>
      <c r="E99" s="772"/>
      <c r="F99" s="772"/>
      <c r="G99" s="772">
        <f t="shared" si="15"/>
        <v>966</v>
      </c>
      <c r="H99" s="772"/>
      <c r="I99" s="772">
        <f t="shared" si="16"/>
        <v>0</v>
      </c>
      <c r="J99" s="772">
        <f t="shared" si="17"/>
        <v>0</v>
      </c>
      <c r="K99" s="772">
        <f t="shared" si="18"/>
        <v>965.86</v>
      </c>
      <c r="L99" s="772"/>
      <c r="M99" s="616"/>
      <c r="N99" s="616"/>
      <c r="O99" s="616">
        <v>965.86</v>
      </c>
      <c r="P99" s="772"/>
      <c r="Q99" s="616"/>
      <c r="R99" s="616"/>
      <c r="S99" s="616">
        <v>965.86</v>
      </c>
    </row>
    <row r="100" spans="1:19">
      <c r="A100" s="790">
        <f t="shared" si="6"/>
        <v>2.8399999999999821</v>
      </c>
      <c r="B100" s="616" t="s">
        <v>1368</v>
      </c>
      <c r="C100" s="772">
        <f t="shared" ref="C100:C101" si="19">SUM(M100:O100)</f>
        <v>0</v>
      </c>
      <c r="D100" s="772">
        <f t="shared" ref="D100:D101" si="20">SUM(Q100:S100)</f>
        <v>14274.230000000001</v>
      </c>
      <c r="E100" s="772"/>
      <c r="F100" s="772"/>
      <c r="G100" s="772">
        <f t="shared" ref="G100:G101" si="21">ROUND(SUM(C100:F100)/2,0)</f>
        <v>7137</v>
      </c>
      <c r="H100" s="772"/>
      <c r="I100" s="772">
        <f t="shared" ref="I100:I101" si="22">(M100+Q100)/2</f>
        <v>0</v>
      </c>
      <c r="J100" s="772">
        <f t="shared" ref="J100:J101" si="23">(N100+R100)/2</f>
        <v>282.56</v>
      </c>
      <c r="K100" s="772">
        <f t="shared" ref="K100:K101" si="24">(O100+S100)/2</f>
        <v>6854.5550000000003</v>
      </c>
      <c r="L100" s="772"/>
      <c r="M100" s="616"/>
      <c r="N100" s="616"/>
      <c r="O100" s="616"/>
      <c r="P100" s="772"/>
      <c r="Q100" s="616"/>
      <c r="R100" s="616">
        <v>565.12</v>
      </c>
      <c r="S100" s="616">
        <v>13709.11</v>
      </c>
    </row>
    <row r="101" spans="1:19">
      <c r="A101" s="790">
        <f t="shared" si="6"/>
        <v>2.8499999999999819</v>
      </c>
      <c r="B101" s="616" t="s">
        <v>1369</v>
      </c>
      <c r="C101" s="772">
        <f t="shared" si="19"/>
        <v>0</v>
      </c>
      <c r="D101" s="772">
        <f t="shared" si="20"/>
        <v>837.23</v>
      </c>
      <c r="E101" s="772"/>
      <c r="F101" s="772"/>
      <c r="G101" s="772">
        <f t="shared" si="21"/>
        <v>419</v>
      </c>
      <c r="H101" s="772"/>
      <c r="I101" s="772">
        <f t="shared" si="22"/>
        <v>0</v>
      </c>
      <c r="J101" s="772">
        <f t="shared" si="23"/>
        <v>12.11</v>
      </c>
      <c r="K101" s="772">
        <f t="shared" si="24"/>
        <v>406.505</v>
      </c>
      <c r="L101" s="772"/>
      <c r="M101" s="616"/>
      <c r="N101" s="616"/>
      <c r="O101" s="616"/>
      <c r="P101" s="772"/>
      <c r="Q101" s="616"/>
      <c r="R101" s="616">
        <v>24.22</v>
      </c>
      <c r="S101" s="616">
        <v>813.01</v>
      </c>
    </row>
    <row r="102" spans="1:19">
      <c r="A102" s="790">
        <f t="shared" si="6"/>
        <v>2.8599999999999817</v>
      </c>
      <c r="B102" s="616" t="s">
        <v>1370</v>
      </c>
      <c r="C102" s="772">
        <f t="shared" ref="C102" si="25">SUM(M102:O102)</f>
        <v>0</v>
      </c>
      <c r="D102" s="772">
        <f t="shared" ref="D102" si="26">SUM(Q102:S102)</f>
        <v>69630.17</v>
      </c>
      <c r="E102" s="772"/>
      <c r="F102" s="772"/>
      <c r="G102" s="772">
        <f t="shared" ref="G102" si="27">ROUND(SUM(C102:F102)/2,0)</f>
        <v>34815</v>
      </c>
      <c r="H102" s="772"/>
      <c r="I102" s="772">
        <f t="shared" ref="I102" si="28">(M102+Q102)/2</f>
        <v>0</v>
      </c>
      <c r="J102" s="772">
        <f t="shared" ref="J102" si="29">(N102+R102)/2</f>
        <v>0</v>
      </c>
      <c r="K102" s="772">
        <f t="shared" ref="K102" si="30">(O102+S102)/2</f>
        <v>34815.084999999999</v>
      </c>
      <c r="L102" s="772"/>
      <c r="M102" s="616"/>
      <c r="N102" s="616"/>
      <c r="O102" s="616"/>
      <c r="P102" s="772"/>
      <c r="Q102" s="616"/>
      <c r="R102" s="616"/>
      <c r="S102" s="616">
        <v>69630.17</v>
      </c>
    </row>
    <row r="103" spans="1:19">
      <c r="A103" s="790">
        <f t="shared" si="6"/>
        <v>2.8699999999999815</v>
      </c>
      <c r="B103" s="616" t="s">
        <v>1281</v>
      </c>
      <c r="C103" s="772">
        <f t="shared" si="13"/>
        <v>0</v>
      </c>
      <c r="D103" s="772">
        <f t="shared" si="14"/>
        <v>0</v>
      </c>
      <c r="E103" s="772"/>
      <c r="F103" s="772"/>
      <c r="G103" s="772">
        <f t="shared" si="15"/>
        <v>0</v>
      </c>
      <c r="H103" s="772"/>
      <c r="I103" s="772">
        <f t="shared" si="16"/>
        <v>0</v>
      </c>
      <c r="J103" s="772">
        <f t="shared" si="17"/>
        <v>0</v>
      </c>
      <c r="K103" s="772">
        <f t="shared" si="18"/>
        <v>0</v>
      </c>
      <c r="L103" s="772"/>
      <c r="M103" s="616"/>
      <c r="N103" s="616"/>
      <c r="O103" s="616">
        <v>0</v>
      </c>
      <c r="P103" s="772"/>
      <c r="Q103" s="616"/>
      <c r="R103" s="616"/>
      <c r="S103" s="616"/>
    </row>
    <row r="104" spans="1:19">
      <c r="A104" s="790">
        <f t="shared" si="6"/>
        <v>2.8799999999999812</v>
      </c>
      <c r="B104" s="616" t="s">
        <v>1282</v>
      </c>
      <c r="C104" s="772">
        <f t="shared" si="13"/>
        <v>272554.02</v>
      </c>
      <c r="D104" s="772">
        <f t="shared" si="14"/>
        <v>261667.54</v>
      </c>
      <c r="E104" s="772"/>
      <c r="F104" s="772"/>
      <c r="G104" s="772">
        <f t="shared" si="15"/>
        <v>267111</v>
      </c>
      <c r="H104" s="772"/>
      <c r="I104" s="772">
        <f t="shared" si="16"/>
        <v>0</v>
      </c>
      <c r="J104" s="772">
        <f t="shared" si="17"/>
        <v>0</v>
      </c>
      <c r="K104" s="772">
        <f t="shared" si="18"/>
        <v>267110.78000000003</v>
      </c>
      <c r="L104" s="772"/>
      <c r="M104" s="616"/>
      <c r="N104" s="616"/>
      <c r="O104" s="616">
        <v>272554.02</v>
      </c>
      <c r="P104" s="772"/>
      <c r="Q104" s="616"/>
      <c r="R104" s="616"/>
      <c r="S104" s="616">
        <v>261667.54</v>
      </c>
    </row>
    <row r="105" spans="1:19">
      <c r="A105" s="790">
        <f t="shared" si="6"/>
        <v>2.889999999999981</v>
      </c>
      <c r="B105" s="616" t="s">
        <v>1283</v>
      </c>
      <c r="C105" s="772">
        <f t="shared" si="13"/>
        <v>62.27</v>
      </c>
      <c r="D105" s="772">
        <f t="shared" si="14"/>
        <v>0</v>
      </c>
      <c r="E105" s="772"/>
      <c r="F105" s="772"/>
      <c r="G105" s="772">
        <f t="shared" si="15"/>
        <v>31</v>
      </c>
      <c r="H105" s="772"/>
      <c r="I105" s="772">
        <f t="shared" si="16"/>
        <v>0</v>
      </c>
      <c r="J105" s="772">
        <f t="shared" si="17"/>
        <v>0</v>
      </c>
      <c r="K105" s="772">
        <f t="shared" si="18"/>
        <v>31.135000000000002</v>
      </c>
      <c r="L105" s="772"/>
      <c r="M105" s="616"/>
      <c r="N105" s="616"/>
      <c r="O105" s="616">
        <v>62.27</v>
      </c>
      <c r="P105" s="772"/>
      <c r="Q105" s="616"/>
      <c r="R105" s="616"/>
      <c r="S105" s="616"/>
    </row>
    <row r="106" spans="1:19">
      <c r="A106" s="790">
        <f t="shared" si="6"/>
        <v>2.8999999999999808</v>
      </c>
      <c r="B106" s="616" t="s">
        <v>1284</v>
      </c>
      <c r="C106" s="772">
        <f t="shared" si="13"/>
        <v>-54142.95</v>
      </c>
      <c r="D106" s="772">
        <f t="shared" si="14"/>
        <v>-53932.340000000004</v>
      </c>
      <c r="E106" s="772"/>
      <c r="F106" s="772"/>
      <c r="G106" s="772">
        <f t="shared" si="15"/>
        <v>-54038</v>
      </c>
      <c r="H106" s="772"/>
      <c r="I106" s="772">
        <f t="shared" si="16"/>
        <v>0</v>
      </c>
      <c r="J106" s="772">
        <f t="shared" si="17"/>
        <v>-7659.375</v>
      </c>
      <c r="K106" s="772">
        <f t="shared" si="18"/>
        <v>-46378.270000000004</v>
      </c>
      <c r="L106" s="772"/>
      <c r="M106" s="616"/>
      <c r="N106" s="616">
        <v>-6612.96</v>
      </c>
      <c r="O106" s="616">
        <v>-47529.99</v>
      </c>
      <c r="P106" s="772"/>
      <c r="Q106" s="616"/>
      <c r="R106" s="616">
        <v>-8705.7900000000009</v>
      </c>
      <c r="S106" s="616">
        <v>-45226.55</v>
      </c>
    </row>
    <row r="107" spans="1:19">
      <c r="A107" s="790">
        <f t="shared" si="6"/>
        <v>2.9099999999999806</v>
      </c>
      <c r="B107" s="616" t="s">
        <v>1285</v>
      </c>
      <c r="C107" s="772">
        <f t="shared" si="13"/>
        <v>-179.38</v>
      </c>
      <c r="D107" s="772">
        <f t="shared" si="14"/>
        <v>-179.38</v>
      </c>
      <c r="E107" s="772"/>
      <c r="F107" s="772"/>
      <c r="G107" s="772">
        <f t="shared" si="15"/>
        <v>-179</v>
      </c>
      <c r="H107" s="772"/>
      <c r="I107" s="772">
        <f t="shared" si="16"/>
        <v>0</v>
      </c>
      <c r="J107" s="772">
        <f t="shared" si="17"/>
        <v>39.869999999999997</v>
      </c>
      <c r="K107" s="772">
        <f t="shared" si="18"/>
        <v>-219.25</v>
      </c>
      <c r="L107" s="772"/>
      <c r="M107" s="616"/>
      <c r="N107" s="616">
        <v>39.869999999999997</v>
      </c>
      <c r="O107" s="616">
        <v>-219.25</v>
      </c>
      <c r="P107" s="772"/>
      <c r="Q107" s="616"/>
      <c r="R107" s="616">
        <v>39.869999999999997</v>
      </c>
      <c r="S107" s="616">
        <v>-219.25</v>
      </c>
    </row>
    <row r="108" spans="1:19">
      <c r="A108" s="790">
        <f t="shared" si="6"/>
        <v>2.9199999999999804</v>
      </c>
      <c r="B108" s="616" t="s">
        <v>1286</v>
      </c>
      <c r="C108" s="772">
        <f t="shared" si="13"/>
        <v>12.24</v>
      </c>
      <c r="D108" s="772">
        <f t="shared" si="14"/>
        <v>12.24</v>
      </c>
      <c r="E108" s="772"/>
      <c r="F108" s="772"/>
      <c r="G108" s="772">
        <f t="shared" si="15"/>
        <v>12</v>
      </c>
      <c r="H108" s="772"/>
      <c r="I108" s="772">
        <f t="shared" si="16"/>
        <v>0</v>
      </c>
      <c r="J108" s="772">
        <f t="shared" si="17"/>
        <v>0.3</v>
      </c>
      <c r="K108" s="772">
        <f t="shared" si="18"/>
        <v>11.94</v>
      </c>
      <c r="L108" s="772"/>
      <c r="M108" s="616"/>
      <c r="N108" s="616">
        <v>0.3</v>
      </c>
      <c r="O108" s="616">
        <v>11.94</v>
      </c>
      <c r="P108" s="772"/>
      <c r="Q108" s="616"/>
      <c r="R108" s="616">
        <v>0.3</v>
      </c>
      <c r="S108" s="616">
        <v>11.94</v>
      </c>
    </row>
    <row r="109" spans="1:19">
      <c r="A109" s="790">
        <f t="shared" si="6"/>
        <v>2.9299999999999802</v>
      </c>
      <c r="B109" s="616" t="s">
        <v>1287</v>
      </c>
      <c r="C109" s="772">
        <f t="shared" si="13"/>
        <v>-0.04</v>
      </c>
      <c r="D109" s="772">
        <f t="shared" si="14"/>
        <v>-0.04</v>
      </c>
      <c r="E109" s="772"/>
      <c r="F109" s="772"/>
      <c r="G109" s="772">
        <f t="shared" si="15"/>
        <v>0</v>
      </c>
      <c r="H109" s="772"/>
      <c r="I109" s="772">
        <f t="shared" si="16"/>
        <v>0</v>
      </c>
      <c r="J109" s="772">
        <f t="shared" si="17"/>
        <v>0.04</v>
      </c>
      <c r="K109" s="772">
        <f t="shared" si="18"/>
        <v>-0.08</v>
      </c>
      <c r="L109" s="772"/>
      <c r="M109" s="616"/>
      <c r="N109" s="616">
        <v>0.04</v>
      </c>
      <c r="O109" s="616">
        <v>-0.08</v>
      </c>
      <c r="P109" s="772"/>
      <c r="Q109" s="616"/>
      <c r="R109" s="616">
        <v>0.04</v>
      </c>
      <c r="S109" s="616">
        <v>-0.08</v>
      </c>
    </row>
    <row r="110" spans="1:19">
      <c r="A110" s="790">
        <f t="shared" si="6"/>
        <v>2.93999999999998</v>
      </c>
      <c r="B110" s="616" t="s">
        <v>1288</v>
      </c>
      <c r="C110" s="772">
        <f t="shared" si="13"/>
        <v>44635.28</v>
      </c>
      <c r="D110" s="772">
        <f t="shared" si="14"/>
        <v>81384.59</v>
      </c>
      <c r="E110" s="772"/>
      <c r="F110" s="772"/>
      <c r="G110" s="772">
        <f t="shared" si="15"/>
        <v>63010</v>
      </c>
      <c r="H110" s="772"/>
      <c r="I110" s="772">
        <f t="shared" si="16"/>
        <v>0</v>
      </c>
      <c r="J110" s="772">
        <f t="shared" si="17"/>
        <v>0</v>
      </c>
      <c r="K110" s="772">
        <f t="shared" si="18"/>
        <v>63009.934999999998</v>
      </c>
      <c r="L110" s="772"/>
      <c r="M110" s="616"/>
      <c r="N110" s="616"/>
      <c r="O110" s="616">
        <v>44635.28</v>
      </c>
      <c r="P110" s="772"/>
      <c r="Q110" s="616"/>
      <c r="R110" s="616"/>
      <c r="S110" s="616">
        <v>81384.59</v>
      </c>
    </row>
    <row r="111" spans="1:19">
      <c r="A111" s="790">
        <f t="shared" si="6"/>
        <v>2.9499999999999797</v>
      </c>
      <c r="B111" s="616" t="s">
        <v>1289</v>
      </c>
      <c r="C111" s="772">
        <f t="shared" si="13"/>
        <v>-1083614.67</v>
      </c>
      <c r="D111" s="772">
        <f t="shared" si="14"/>
        <v>-1064945.1600000001</v>
      </c>
      <c r="E111" s="772"/>
      <c r="F111" s="772"/>
      <c r="G111" s="772">
        <f t="shared" si="15"/>
        <v>-1074280</v>
      </c>
      <c r="H111" s="772"/>
      <c r="I111" s="772">
        <f t="shared" si="16"/>
        <v>0</v>
      </c>
      <c r="J111" s="772">
        <f t="shared" si="17"/>
        <v>-412958.85499999998</v>
      </c>
      <c r="K111" s="772">
        <f t="shared" si="18"/>
        <v>-661321.06000000006</v>
      </c>
      <c r="L111" s="772"/>
      <c r="M111" s="616"/>
      <c r="N111" s="616">
        <v>-417996.42</v>
      </c>
      <c r="O111" s="616">
        <v>-665618.25</v>
      </c>
      <c r="P111" s="772"/>
      <c r="Q111" s="616"/>
      <c r="R111" s="616">
        <v>-407921.29000000004</v>
      </c>
      <c r="S111" s="616">
        <v>-657023.87</v>
      </c>
    </row>
    <row r="112" spans="1:19">
      <c r="A112" s="790">
        <f t="shared" si="6"/>
        <v>2.9599999999999795</v>
      </c>
      <c r="B112" s="1145" t="s">
        <v>1179</v>
      </c>
      <c r="C112" s="1146">
        <f t="shared" ref="C112" si="31">SUM(M112:O112)</f>
        <v>0</v>
      </c>
      <c r="D112" s="1146">
        <f>SUM(Q112:S112)</f>
        <v>0</v>
      </c>
      <c r="E112" s="1146"/>
      <c r="F112" s="1146"/>
      <c r="G112" s="772">
        <f t="shared" ref="G112:G124" si="32">ROUND(SUM(C112:F112)/2,0)</f>
        <v>0</v>
      </c>
      <c r="H112" s="772"/>
      <c r="I112" s="772"/>
      <c r="J112" s="772"/>
      <c r="K112" s="772"/>
      <c r="L112" s="772"/>
      <c r="M112" s="616">
        <v>0</v>
      </c>
      <c r="N112" s="616">
        <v>0</v>
      </c>
      <c r="O112" s="616">
        <v>0</v>
      </c>
      <c r="P112" s="772"/>
      <c r="Q112" s="616">
        <v>0</v>
      </c>
      <c r="R112" s="616">
        <v>0</v>
      </c>
      <c r="S112" s="616">
        <v>0</v>
      </c>
    </row>
    <row r="113" spans="1:256">
      <c r="A113" s="790">
        <f t="shared" si="6"/>
        <v>2.9699999999999793</v>
      </c>
      <c r="B113" s="1145" t="s">
        <v>1180</v>
      </c>
      <c r="C113" s="1146">
        <f>-E113</f>
        <v>0</v>
      </c>
      <c r="D113" s="1146">
        <f>-F113</f>
        <v>0</v>
      </c>
      <c r="E113" s="1146">
        <f>C112</f>
        <v>0</v>
      </c>
      <c r="F113" s="1146">
        <f>D112</f>
        <v>0</v>
      </c>
      <c r="G113" s="772">
        <f t="shared" si="32"/>
        <v>0</v>
      </c>
      <c r="H113" s="772"/>
      <c r="I113" s="772"/>
      <c r="J113" s="772"/>
      <c r="K113" s="772"/>
      <c r="L113" s="772"/>
      <c r="M113" s="616"/>
      <c r="N113" s="616"/>
      <c r="O113" s="616"/>
      <c r="P113" s="772"/>
      <c r="Q113" s="616"/>
      <c r="R113" s="616"/>
      <c r="S113" s="616"/>
    </row>
    <row r="114" spans="1:256">
      <c r="A114" s="790">
        <f t="shared" si="6"/>
        <v>2.9799999999999791</v>
      </c>
      <c r="B114" s="616" t="s">
        <v>975</v>
      </c>
      <c r="C114" s="616">
        <f t="shared" ref="C114:D122" si="33">-E114</f>
        <v>13815.86</v>
      </c>
      <c r="D114" s="616">
        <f t="shared" si="33"/>
        <v>14330.01</v>
      </c>
      <c r="E114" s="772">
        <v>-13815.86</v>
      </c>
      <c r="F114" s="772">
        <v>-14330.01</v>
      </c>
      <c r="G114" s="772">
        <f t="shared" si="32"/>
        <v>0</v>
      </c>
      <c r="H114" s="772"/>
      <c r="I114" s="772"/>
      <c r="J114" s="772"/>
      <c r="K114" s="772"/>
      <c r="L114" s="772"/>
      <c r="M114" s="772"/>
      <c r="N114" s="772"/>
      <c r="O114" s="772"/>
      <c r="P114" s="772"/>
      <c r="Q114" s="772"/>
      <c r="R114" s="772"/>
      <c r="S114" s="772"/>
    </row>
    <row r="115" spans="1:256">
      <c r="A115" s="790">
        <f t="shared" si="6"/>
        <v>2.9899999999999789</v>
      </c>
      <c r="B115" s="616" t="s">
        <v>985</v>
      </c>
      <c r="C115" s="616">
        <f t="shared" si="33"/>
        <v>1457998.82</v>
      </c>
      <c r="D115" s="616">
        <f t="shared" si="33"/>
        <v>1454850.19</v>
      </c>
      <c r="E115" s="772">
        <v>-1457998.82</v>
      </c>
      <c r="F115" s="772">
        <v>-1454850.19</v>
      </c>
      <c r="G115" s="772">
        <f t="shared" si="32"/>
        <v>0</v>
      </c>
      <c r="H115" s="772"/>
      <c r="I115" s="772"/>
      <c r="J115" s="772"/>
      <c r="K115" s="772"/>
      <c r="L115" s="772"/>
      <c r="M115" s="772"/>
      <c r="N115" s="772"/>
      <c r="O115" s="772"/>
      <c r="P115" s="772"/>
      <c r="Q115" s="772"/>
      <c r="R115" s="772"/>
      <c r="S115" s="772"/>
    </row>
    <row r="116" spans="1:256">
      <c r="A116" s="790">
        <f t="shared" si="6"/>
        <v>2.9999999999999787</v>
      </c>
      <c r="B116" s="616" t="s">
        <v>986</v>
      </c>
      <c r="C116" s="616">
        <f t="shared" si="33"/>
        <v>89738985.920000002</v>
      </c>
      <c r="D116" s="616">
        <f t="shared" si="33"/>
        <v>73232066.200000003</v>
      </c>
      <c r="E116" s="772">
        <v>-89738985.920000002</v>
      </c>
      <c r="F116" s="772">
        <v>-73232066.200000003</v>
      </c>
      <c r="G116" s="772">
        <f t="shared" si="32"/>
        <v>0</v>
      </c>
      <c r="H116" s="772"/>
      <c r="I116" s="772"/>
      <c r="J116" s="772"/>
      <c r="K116" s="772"/>
      <c r="L116" s="772"/>
      <c r="M116" s="772"/>
      <c r="N116" s="772"/>
      <c r="O116" s="772"/>
      <c r="P116" s="772"/>
      <c r="Q116" s="772"/>
      <c r="R116" s="772"/>
      <c r="S116" s="772"/>
    </row>
    <row r="117" spans="1:256">
      <c r="A117" s="790">
        <f t="shared" si="6"/>
        <v>3.0099999999999785</v>
      </c>
      <c r="B117" s="616" t="s">
        <v>1366</v>
      </c>
      <c r="C117" s="616">
        <f t="shared" ref="C117" si="34">-E117</f>
        <v>0</v>
      </c>
      <c r="D117" s="616">
        <f t="shared" ref="D117" si="35">-F117</f>
        <v>4896443.43</v>
      </c>
      <c r="E117" s="772">
        <v>0</v>
      </c>
      <c r="F117" s="772">
        <v>-4896443.43</v>
      </c>
      <c r="G117" s="772"/>
      <c r="H117" s="772"/>
      <c r="I117" s="772"/>
      <c r="J117" s="772"/>
      <c r="K117" s="772"/>
      <c r="L117" s="772"/>
      <c r="M117" s="772"/>
      <c r="N117" s="772"/>
      <c r="O117" s="772"/>
      <c r="P117" s="772"/>
      <c r="Q117" s="772"/>
      <c r="R117" s="772"/>
      <c r="S117" s="772"/>
    </row>
    <row r="118" spans="1:256">
      <c r="A118" s="790">
        <f t="shared" si="6"/>
        <v>3.0199999999999783</v>
      </c>
      <c r="B118" s="616" t="s">
        <v>1106</v>
      </c>
      <c r="C118" s="616">
        <f t="shared" ref="C118:C119" si="36">-E118</f>
        <v>5907377.3399999999</v>
      </c>
      <c r="D118" s="616">
        <f t="shared" ref="D118:D119" si="37">-F118</f>
        <v>5906803.2999999998</v>
      </c>
      <c r="E118" s="772">
        <v>-5907377.3399999999</v>
      </c>
      <c r="F118" s="772">
        <v>-5906803.2999999998</v>
      </c>
      <c r="G118" s="772">
        <f t="shared" si="32"/>
        <v>0</v>
      </c>
      <c r="H118" s="772"/>
      <c r="I118" s="772"/>
      <c r="J118" s="772"/>
      <c r="K118" s="772"/>
      <c r="L118" s="772"/>
      <c r="M118" s="772"/>
      <c r="N118" s="772"/>
      <c r="O118" s="772"/>
      <c r="P118" s="772"/>
      <c r="Q118" s="772"/>
      <c r="R118" s="772"/>
      <c r="S118" s="772"/>
    </row>
    <row r="119" spans="1:256">
      <c r="A119" s="790">
        <f t="shared" si="6"/>
        <v>3.029999999999978</v>
      </c>
      <c r="B119" s="616" t="s">
        <v>1105</v>
      </c>
      <c r="C119" s="616">
        <f t="shared" si="36"/>
        <v>-27700.33</v>
      </c>
      <c r="D119" s="616">
        <f t="shared" si="37"/>
        <v>-27654.81</v>
      </c>
      <c r="E119" s="772">
        <v>27700.33</v>
      </c>
      <c r="F119" s="772">
        <v>27654.81</v>
      </c>
      <c r="G119" s="772">
        <f t="shared" si="32"/>
        <v>0</v>
      </c>
      <c r="H119" s="772"/>
      <c r="I119" s="772"/>
      <c r="J119" s="772"/>
      <c r="K119" s="772"/>
      <c r="L119" s="772"/>
      <c r="M119" s="772"/>
      <c r="N119" s="772"/>
      <c r="O119" s="772"/>
      <c r="P119" s="772"/>
      <c r="Q119" s="772"/>
      <c r="R119" s="772"/>
      <c r="S119" s="772"/>
    </row>
    <row r="120" spans="1:256">
      <c r="A120" s="790">
        <f t="shared" si="6"/>
        <v>3.0399999999999778</v>
      </c>
      <c r="B120" s="616" t="s">
        <v>987</v>
      </c>
      <c r="C120" s="616">
        <f t="shared" si="33"/>
        <v>0</v>
      </c>
      <c r="D120" s="616">
        <f t="shared" si="33"/>
        <v>0</v>
      </c>
      <c r="E120" s="772">
        <v>0</v>
      </c>
      <c r="F120" s="772">
        <v>0</v>
      </c>
      <c r="G120" s="772">
        <f t="shared" si="32"/>
        <v>0</v>
      </c>
      <c r="H120" s="772"/>
      <c r="I120" s="772"/>
      <c r="J120" s="772"/>
      <c r="K120" s="772"/>
      <c r="L120" s="772"/>
      <c r="M120" s="772"/>
      <c r="N120" s="772"/>
      <c r="O120" s="772"/>
      <c r="P120" s="772"/>
      <c r="Q120" s="772"/>
      <c r="R120" s="772"/>
      <c r="S120" s="772"/>
    </row>
    <row r="121" spans="1:256">
      <c r="A121" s="790">
        <f t="shared" si="6"/>
        <v>3.0499999999999776</v>
      </c>
      <c r="B121" s="616" t="s">
        <v>988</v>
      </c>
      <c r="C121" s="616">
        <f t="shared" si="33"/>
        <v>0</v>
      </c>
      <c r="D121" s="616">
        <f t="shared" si="33"/>
        <v>0</v>
      </c>
      <c r="E121" s="772">
        <v>0</v>
      </c>
      <c r="F121" s="772">
        <v>0</v>
      </c>
      <c r="G121" s="772">
        <f t="shared" si="32"/>
        <v>0</v>
      </c>
      <c r="H121" s="772"/>
      <c r="I121" s="772"/>
      <c r="J121" s="772"/>
      <c r="K121" s="772"/>
      <c r="L121" s="772"/>
      <c r="M121" s="772"/>
      <c r="N121" s="772"/>
      <c r="O121" s="772"/>
      <c r="P121" s="772"/>
      <c r="Q121" s="772"/>
      <c r="R121" s="772"/>
      <c r="S121" s="772"/>
    </row>
    <row r="122" spans="1:256">
      <c r="A122" s="790">
        <f t="shared" si="6"/>
        <v>3.0599999999999774</v>
      </c>
      <c r="B122" s="616" t="s">
        <v>989</v>
      </c>
      <c r="C122" s="616">
        <f t="shared" si="33"/>
        <v>0</v>
      </c>
      <c r="D122" s="616">
        <f t="shared" si="33"/>
        <v>0</v>
      </c>
      <c r="E122" s="772">
        <v>0</v>
      </c>
      <c r="F122" s="772">
        <v>0</v>
      </c>
      <c r="G122" s="772">
        <f t="shared" si="32"/>
        <v>0</v>
      </c>
      <c r="H122" s="772"/>
      <c r="I122" s="772"/>
      <c r="J122" s="772"/>
      <c r="K122" s="772"/>
      <c r="L122" s="772"/>
      <c r="M122" s="772"/>
      <c r="N122" s="772"/>
      <c r="O122" s="772"/>
      <c r="P122" s="772"/>
      <c r="Q122" s="772"/>
      <c r="R122" s="772"/>
      <c r="S122" s="772"/>
    </row>
    <row r="123" spans="1:256">
      <c r="A123" s="790">
        <f t="shared" ref="A123:A124" si="38">A122+0.01</f>
        <v>3.0699999999999772</v>
      </c>
      <c r="B123" s="616" t="s">
        <v>1223</v>
      </c>
      <c r="C123" s="616">
        <f t="shared" ref="C123" si="39">-E123</f>
        <v>1526271.06</v>
      </c>
      <c r="D123" s="616">
        <f t="shared" ref="D123" si="40">-F123</f>
        <v>970682.77</v>
      </c>
      <c r="E123" s="772">
        <v>-1526271.06</v>
      </c>
      <c r="F123" s="772">
        <v>-970682.77</v>
      </c>
      <c r="G123" s="772"/>
      <c r="H123" s="772"/>
      <c r="I123" s="772"/>
      <c r="J123" s="772"/>
      <c r="K123" s="772"/>
      <c r="L123" s="772"/>
      <c r="M123" s="772"/>
      <c r="N123" s="772"/>
      <c r="O123" s="772"/>
      <c r="P123" s="772"/>
      <c r="Q123" s="772"/>
      <c r="R123" s="772"/>
      <c r="S123" s="772"/>
    </row>
    <row r="124" spans="1:256">
      <c r="A124" s="790">
        <f t="shared" si="38"/>
        <v>3.079999999999977</v>
      </c>
      <c r="B124" s="616" t="s">
        <v>990</v>
      </c>
      <c r="C124" s="772">
        <f>SUM(M124:O124)</f>
        <v>2644929.65</v>
      </c>
      <c r="D124" s="772">
        <f>SUM(Q124:S124)</f>
        <v>207782.45</v>
      </c>
      <c r="E124" s="772"/>
      <c r="F124" s="772"/>
      <c r="G124" s="772">
        <f t="shared" si="32"/>
        <v>1426356</v>
      </c>
      <c r="H124" s="772"/>
      <c r="I124" s="772">
        <f>(M124+Q124)/2</f>
        <v>0</v>
      </c>
      <c r="J124" s="772">
        <f>(N124+R124)/2</f>
        <v>0</v>
      </c>
      <c r="K124" s="772">
        <f>(O124+S124)/2</f>
        <v>1426356.05</v>
      </c>
      <c r="L124" s="772"/>
      <c r="M124" s="774"/>
      <c r="N124" s="774"/>
      <c r="O124" s="774">
        <v>2644929.65</v>
      </c>
      <c r="P124" s="772"/>
      <c r="Q124" s="774"/>
      <c r="R124" s="774"/>
      <c r="S124" s="774">
        <v>207782.45</v>
      </c>
    </row>
    <row r="125" spans="1:256">
      <c r="A125" s="137"/>
      <c r="B125" s="772"/>
      <c r="C125" s="772"/>
      <c r="D125" s="772"/>
      <c r="E125" s="772"/>
      <c r="F125" s="772"/>
      <c r="G125" s="772"/>
      <c r="H125" s="772"/>
      <c r="I125" s="772"/>
      <c r="J125" s="772"/>
      <c r="K125" s="772"/>
      <c r="L125" s="772"/>
      <c r="M125" s="772"/>
      <c r="N125" s="772"/>
      <c r="O125" s="772"/>
      <c r="P125" s="772"/>
      <c r="Q125" s="772"/>
      <c r="R125" s="772"/>
      <c r="S125" s="772"/>
    </row>
    <row r="126" spans="1:256" ht="13.5" thickBot="1">
      <c r="A126" s="1">
        <v>3</v>
      </c>
      <c r="B126" s="772" t="s">
        <v>733</v>
      </c>
      <c r="C126" s="782">
        <f>SUM(C17:C125)</f>
        <v>186474276.25</v>
      </c>
      <c r="D126" s="782">
        <f>SUM(D17:D125)</f>
        <v>170703059.72</v>
      </c>
      <c r="E126" s="782">
        <f>SUM(E17:E125)</f>
        <v>-98616748.670000017</v>
      </c>
      <c r="F126" s="782">
        <f>SUM(F17:F125)</f>
        <v>-86447521.090000004</v>
      </c>
      <c r="G126" s="782">
        <f>SUM(G17:G125)</f>
        <v>86056531</v>
      </c>
      <c r="H126" s="772"/>
      <c r="I126" s="782">
        <f>SUM(I17:I125)</f>
        <v>0</v>
      </c>
      <c r="J126" s="782">
        <f>SUM(J17:J125)</f>
        <v>22988108.575000003</v>
      </c>
      <c r="K126" s="782">
        <f>SUM(K17:K125)</f>
        <v>63068424.530000024</v>
      </c>
      <c r="L126" s="772"/>
      <c r="M126" s="782">
        <f>SUM(M17:M125)</f>
        <v>0</v>
      </c>
      <c r="N126" s="782">
        <f>SUM(N17:N125)</f>
        <v>25072989.98</v>
      </c>
      <c r="O126" s="782">
        <f>SUM(O17:O125)</f>
        <v>62784537.600000016</v>
      </c>
      <c r="P126" s="772"/>
      <c r="Q126" s="782">
        <f>SUM(Q17:Q125)</f>
        <v>0</v>
      </c>
      <c r="R126" s="782">
        <f>SUM(R17:R125)</f>
        <v>20903227.170000002</v>
      </c>
      <c r="S126" s="782">
        <f>SUM(S17:S125)</f>
        <v>63352311.459999986</v>
      </c>
    </row>
    <row r="127" spans="1:256" ht="13.5" thickTop="1">
      <c r="A127" s="1">
        <v>4</v>
      </c>
      <c r="B127" s="18" t="s">
        <v>736</v>
      </c>
      <c r="C127" s="778">
        <f>C94+C27</f>
        <v>11693973.279999999</v>
      </c>
      <c r="D127" s="778">
        <f>D94+D27</f>
        <v>12390398.57</v>
      </c>
      <c r="E127" s="778">
        <f t="shared" ref="E127:G127" si="41">E94+E27</f>
        <v>0</v>
      </c>
      <c r="F127" s="778">
        <f t="shared" si="41"/>
        <v>0</v>
      </c>
      <c r="G127" s="778">
        <f t="shared" si="41"/>
        <v>12042185</v>
      </c>
      <c r="H127" s="4"/>
      <c r="I127" s="778">
        <f t="shared" ref="I127:K127" si="42">I94+I27</f>
        <v>0</v>
      </c>
      <c r="J127" s="778">
        <f t="shared" si="42"/>
        <v>11611552.725000001</v>
      </c>
      <c r="K127" s="778">
        <f t="shared" si="42"/>
        <v>430633.2</v>
      </c>
      <c r="L127" s="4"/>
      <c r="M127" s="778">
        <f t="shared" ref="M127:O127" si="43">M94+M27</f>
        <v>0</v>
      </c>
      <c r="N127" s="778">
        <f t="shared" si="43"/>
        <v>11268195.709999999</v>
      </c>
      <c r="O127" s="778">
        <f t="shared" si="43"/>
        <v>425777.57</v>
      </c>
      <c r="P127" s="4"/>
      <c r="Q127" s="778">
        <f t="shared" ref="Q127:S127" si="44">Q94+Q27</f>
        <v>0</v>
      </c>
      <c r="R127" s="778">
        <f t="shared" si="44"/>
        <v>11954909.74</v>
      </c>
      <c r="S127" s="778">
        <f t="shared" si="44"/>
        <v>435488.83</v>
      </c>
      <c r="T127" s="4"/>
      <c r="IV127" s="772"/>
    </row>
    <row r="128" spans="1:256">
      <c r="I128" s="772"/>
    </row>
    <row r="164" spans="7:7">
      <c r="G164">
        <v>0</v>
      </c>
    </row>
    <row r="181" spans="7:12">
      <c r="G181" s="965"/>
      <c r="L181" s="965"/>
    </row>
  </sheetData>
  <pageMargins left="0.7" right="0.7" top="0.75" bottom="0.75" header="0.3" footer="0.3"/>
  <pageSetup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pageSetUpPr fitToPage="1"/>
  </sheetPr>
  <dimension ref="A1:W97"/>
  <sheetViews>
    <sheetView tabSelected="1" zoomScale="85" zoomScaleNormal="85" workbookViewId="0">
      <pane ySplit="10" topLeftCell="A28" activePane="bottomLeft" state="frozen"/>
      <selection activeCell="D11" sqref="D11"/>
      <selection pane="bottomLeft" activeCell="D11" sqref="D11"/>
    </sheetView>
  </sheetViews>
  <sheetFormatPr defaultColWidth="10" defaultRowHeight="12"/>
  <cols>
    <col min="1" max="1" width="9.42578125" style="1030" customWidth="1"/>
    <col min="2" max="2" width="20.85546875" style="1031" customWidth="1"/>
    <col min="3" max="3" width="35.5703125" style="1030" customWidth="1"/>
    <col min="4" max="4" width="12.85546875" style="1030" customWidth="1"/>
    <col min="5" max="5" width="10.42578125" style="1030" customWidth="1"/>
    <col min="6" max="6" width="16.42578125" style="1030" customWidth="1"/>
    <col min="7" max="7" width="12" style="1030" customWidth="1"/>
    <col min="8" max="8" width="14.28515625" style="1030" bestFit="1" customWidth="1"/>
    <col min="9" max="9" width="18.85546875" style="1030" customWidth="1"/>
    <col min="10" max="10" width="15.5703125" style="1030" customWidth="1"/>
    <col min="11" max="11" width="16.140625" style="1030" customWidth="1"/>
    <col min="12" max="13" width="15" style="1030" customWidth="1"/>
    <col min="14" max="14" width="13.5703125" style="1030" customWidth="1"/>
    <col min="15" max="15" width="15" style="1030" customWidth="1"/>
    <col min="16" max="17" width="17.5703125" style="1030" customWidth="1"/>
    <col min="18" max="18" width="33" style="1030" customWidth="1"/>
    <col min="19" max="19" width="15" style="1030" customWidth="1"/>
    <col min="20" max="21" width="14.5703125" style="1030" bestFit="1" customWidth="1"/>
    <col min="22" max="22" width="10.5703125" style="1030" bestFit="1" customWidth="1"/>
    <col min="23" max="16384" width="10" style="1030"/>
  </cols>
  <sheetData>
    <row r="1" spans="1:23" ht="15">
      <c r="A1" s="1034" t="s">
        <v>996</v>
      </c>
      <c r="B1" s="1033"/>
      <c r="C1" s="1033"/>
      <c r="D1" s="1033"/>
      <c r="E1" s="1033"/>
      <c r="F1" s="1033"/>
      <c r="G1" s="1033"/>
      <c r="H1" s="1033"/>
      <c r="I1" s="1033"/>
      <c r="J1" s="1033"/>
      <c r="K1" s="1033"/>
      <c r="L1" s="1033"/>
      <c r="M1" s="1033"/>
      <c r="N1" s="1033"/>
      <c r="O1" s="1033"/>
      <c r="P1" s="1033"/>
      <c r="Q1" s="1033"/>
      <c r="R1" s="1079"/>
      <c r="S1" s="1033"/>
      <c r="T1" s="1033"/>
      <c r="U1" s="1033"/>
      <c r="V1" s="1033"/>
      <c r="W1" s="1033"/>
    </row>
    <row r="2" spans="1:23" ht="15">
      <c r="A2" s="1034" t="s">
        <v>997</v>
      </c>
      <c r="B2" s="1033"/>
      <c r="C2" s="1033"/>
      <c r="D2" s="1033"/>
      <c r="E2" s="1033"/>
      <c r="F2" s="1033"/>
      <c r="G2" s="1033"/>
      <c r="H2" s="1033"/>
      <c r="I2" s="1033"/>
      <c r="J2" s="1033"/>
      <c r="K2" s="1033"/>
      <c r="L2" s="1033"/>
      <c r="M2" s="1033"/>
      <c r="N2" s="1033"/>
      <c r="O2" s="1033"/>
      <c r="P2" s="1033"/>
      <c r="Q2" s="1033"/>
      <c r="R2" s="1079"/>
      <c r="S2" s="1033"/>
      <c r="T2" s="1033"/>
      <c r="U2" s="1033"/>
      <c r="V2" s="1036"/>
      <c r="W2" s="1033"/>
    </row>
    <row r="3" spans="1:23" ht="15">
      <c r="A3" s="1034" t="s">
        <v>998</v>
      </c>
      <c r="B3" s="1033"/>
      <c r="C3" s="1033"/>
      <c r="D3" s="1033"/>
      <c r="E3" s="1033"/>
      <c r="F3" s="1033"/>
      <c r="G3" s="1033"/>
      <c r="H3" s="1033"/>
      <c r="I3" s="1033"/>
      <c r="J3" s="1033"/>
      <c r="K3" s="1033"/>
      <c r="L3" s="1033"/>
      <c r="M3" s="1033"/>
      <c r="N3" s="1033"/>
      <c r="O3" s="1033"/>
      <c r="P3" s="1033"/>
      <c r="Q3" s="1033"/>
      <c r="R3" s="1079"/>
      <c r="S3" s="1033"/>
      <c r="T3" s="1033"/>
      <c r="U3" s="1033"/>
      <c r="V3" s="1032"/>
      <c r="W3" s="1033"/>
    </row>
    <row r="4" spans="1:23" ht="15">
      <c r="A4" s="1034" t="s">
        <v>1363</v>
      </c>
      <c r="B4" s="1033"/>
      <c r="C4" s="1033"/>
      <c r="D4" s="1033"/>
      <c r="E4" s="1033"/>
      <c r="F4" s="1033"/>
      <c r="G4" s="1037"/>
      <c r="H4" s="1033"/>
      <c r="I4" s="1033"/>
      <c r="J4" s="1033"/>
      <c r="K4" s="1033"/>
      <c r="L4" s="1033"/>
      <c r="M4" s="1033"/>
      <c r="N4" s="1033"/>
      <c r="O4" s="1033"/>
      <c r="P4" s="1033"/>
      <c r="Q4" s="1033"/>
      <c r="R4" s="1033"/>
      <c r="S4" s="1033"/>
      <c r="T4" s="1033"/>
      <c r="U4" s="1033"/>
      <c r="V4" s="1033"/>
      <c r="W4" s="1033"/>
    </row>
    <row r="5" spans="1:23" ht="15">
      <c r="A5" s="1034" t="s">
        <v>999</v>
      </c>
      <c r="B5" s="1033"/>
      <c r="C5" s="1033"/>
      <c r="D5" s="1033"/>
      <c r="E5" s="1033"/>
      <c r="F5" s="1033"/>
      <c r="G5" s="1033"/>
      <c r="H5" s="1033"/>
      <c r="I5" s="1038"/>
      <c r="J5" s="1038"/>
      <c r="K5" s="1033"/>
      <c r="L5" s="1033"/>
      <c r="M5" s="1033"/>
      <c r="N5" s="1033"/>
      <c r="O5" s="1033"/>
      <c r="P5" s="1038"/>
      <c r="Q5" s="1038"/>
      <c r="R5" s="1033"/>
      <c r="S5" s="1033"/>
      <c r="T5" s="1033"/>
      <c r="U5" s="1033"/>
      <c r="V5" s="1033"/>
      <c r="W5" s="1033"/>
    </row>
    <row r="6" spans="1:23" ht="15">
      <c r="A6" s="1033"/>
      <c r="B6" s="1033"/>
      <c r="C6" s="1033"/>
      <c r="D6" s="1033"/>
      <c r="E6" s="1033"/>
      <c r="F6" s="1033"/>
      <c r="G6" s="1033"/>
      <c r="H6" s="1033"/>
      <c r="I6" s="1033"/>
      <c r="J6" s="1038"/>
      <c r="K6" s="1039"/>
      <c r="L6" s="1035"/>
      <c r="M6" s="1035"/>
      <c r="N6" s="1035"/>
      <c r="O6" s="1035"/>
      <c r="P6" s="1035"/>
      <c r="Q6" s="1035"/>
      <c r="R6" s="1033"/>
      <c r="S6" s="1033"/>
      <c r="T6" s="1033"/>
      <c r="U6" s="1033"/>
      <c r="V6" s="1033"/>
      <c r="W6" s="1033"/>
    </row>
    <row r="7" spans="1:23" ht="15">
      <c r="A7" s="1033"/>
      <c r="B7" s="1040"/>
      <c r="C7" s="1040"/>
      <c r="D7" s="1040"/>
      <c r="E7" s="1040"/>
      <c r="F7" s="1040"/>
      <c r="G7" s="1040"/>
      <c r="H7" s="1040"/>
      <c r="I7" s="1040"/>
      <c r="J7" s="1040"/>
      <c r="K7" s="1040"/>
      <c r="L7" s="1040"/>
      <c r="M7" s="1040"/>
      <c r="N7" s="1040"/>
      <c r="O7" s="1040"/>
      <c r="P7" s="1040"/>
      <c r="Q7" s="1035"/>
      <c r="R7" s="1033"/>
      <c r="S7" s="1033"/>
      <c r="T7" s="1033"/>
      <c r="U7" s="1033"/>
      <c r="V7" s="1033"/>
      <c r="W7" s="1033"/>
    </row>
    <row r="8" spans="1:23" ht="15">
      <c r="A8" s="1035" t="s">
        <v>148</v>
      </c>
      <c r="B8" s="1035" t="s">
        <v>149</v>
      </c>
      <c r="C8" s="1035" t="s">
        <v>150</v>
      </c>
      <c r="D8" s="1035" t="s">
        <v>151</v>
      </c>
      <c r="E8" s="1035" t="s">
        <v>152</v>
      </c>
      <c r="F8" s="1035" t="s">
        <v>153</v>
      </c>
      <c r="G8" s="1035" t="s">
        <v>154</v>
      </c>
      <c r="H8" s="1035" t="s">
        <v>155</v>
      </c>
      <c r="I8" s="1035" t="s">
        <v>1000</v>
      </c>
      <c r="J8" s="1035" t="s">
        <v>1001</v>
      </c>
      <c r="K8" s="1035" t="s">
        <v>158</v>
      </c>
      <c r="L8" s="1035" t="s">
        <v>159</v>
      </c>
      <c r="M8" s="1035" t="s">
        <v>160</v>
      </c>
      <c r="N8" s="1035" t="s">
        <v>245</v>
      </c>
      <c r="O8" s="1035" t="s">
        <v>304</v>
      </c>
      <c r="P8" s="1035" t="s">
        <v>350</v>
      </c>
      <c r="Q8" s="1035" t="s">
        <v>351</v>
      </c>
      <c r="R8" s="1035" t="s">
        <v>352</v>
      </c>
      <c r="S8" s="1033"/>
      <c r="T8" s="1033"/>
      <c r="U8" s="1033"/>
      <c r="V8" s="1033"/>
      <c r="W8" s="1033"/>
    </row>
    <row r="9" spans="1:23" ht="14.45" customHeight="1">
      <c r="A9" s="1034" t="s">
        <v>1002</v>
      </c>
      <c r="B9" s="1033"/>
      <c r="C9" s="1033"/>
      <c r="D9" s="1033"/>
      <c r="E9" s="1033"/>
      <c r="F9" s="1033"/>
      <c r="G9" s="1033"/>
      <c r="H9" s="1033"/>
      <c r="I9" s="1252" t="s">
        <v>1361</v>
      </c>
      <c r="J9" s="1252"/>
      <c r="K9" s="1253" t="s">
        <v>1003</v>
      </c>
      <c r="L9" s="1253"/>
      <c r="M9" s="1253"/>
      <c r="N9" s="1251" t="s">
        <v>1004</v>
      </c>
      <c r="O9" s="1251"/>
      <c r="P9" s="1252" t="s">
        <v>1362</v>
      </c>
      <c r="Q9" s="1252"/>
      <c r="R9" s="1033"/>
      <c r="S9" s="1033"/>
      <c r="T9" s="1033"/>
      <c r="U9" s="1033"/>
      <c r="V9" s="1033"/>
      <c r="W9" s="1033"/>
    </row>
    <row r="10" spans="1:23" ht="72">
      <c r="A10" s="1042" t="s">
        <v>1005</v>
      </c>
      <c r="B10" s="1044" t="s">
        <v>1162</v>
      </c>
      <c r="C10" s="1043" t="s">
        <v>1006</v>
      </c>
      <c r="D10" s="1044" t="s">
        <v>1007</v>
      </c>
      <c r="E10" s="1044" t="s">
        <v>1008</v>
      </c>
      <c r="F10" s="1044" t="s">
        <v>1163</v>
      </c>
      <c r="G10" s="1044" t="s">
        <v>1164</v>
      </c>
      <c r="H10" s="1044" t="s">
        <v>1009</v>
      </c>
      <c r="I10" s="1139" t="s">
        <v>1165</v>
      </c>
      <c r="J10" s="1139" t="s">
        <v>1166</v>
      </c>
      <c r="K10" s="1044" t="s">
        <v>1010</v>
      </c>
      <c r="L10" s="1044">
        <v>182.3</v>
      </c>
      <c r="M10" s="1044">
        <v>254</v>
      </c>
      <c r="N10" s="1044" t="s">
        <v>1167</v>
      </c>
      <c r="O10" s="1044" t="s">
        <v>1011</v>
      </c>
      <c r="P10" s="1139" t="s">
        <v>1168</v>
      </c>
      <c r="Q10" s="1139" t="s">
        <v>1169</v>
      </c>
      <c r="R10" s="1045" t="s">
        <v>1012</v>
      </c>
      <c r="S10" s="1034"/>
      <c r="T10" s="1033"/>
      <c r="U10" s="1033"/>
      <c r="V10" s="1033"/>
      <c r="W10" s="1033"/>
    </row>
    <row r="11" spans="1:23" ht="15">
      <c r="A11" s="1033"/>
      <c r="B11" s="1034"/>
      <c r="C11" s="1033"/>
      <c r="D11" s="1046"/>
      <c r="E11" s="1046"/>
      <c r="F11" s="1046"/>
      <c r="G11" s="1046"/>
      <c r="H11" s="1046"/>
      <c r="I11" s="1046"/>
      <c r="J11" s="1046"/>
      <c r="K11" s="1046"/>
      <c r="L11" s="1046"/>
      <c r="M11" s="1046"/>
      <c r="N11" s="1046"/>
      <c r="O11" s="1046"/>
      <c r="P11" s="1246" t="s">
        <v>1013</v>
      </c>
      <c r="Q11" s="1246"/>
      <c r="R11" s="1087">
        <v>0</v>
      </c>
      <c r="S11" s="1034"/>
      <c r="T11" s="1033"/>
      <c r="U11" s="1033"/>
      <c r="V11" s="1033"/>
      <c r="W11" s="1033"/>
    </row>
    <row r="12" spans="1:23" ht="15">
      <c r="A12" s="1033"/>
      <c r="B12" s="1047" t="s">
        <v>1014</v>
      </c>
      <c r="C12" s="1048"/>
      <c r="D12" s="1048"/>
      <c r="E12" s="1048"/>
      <c r="F12" s="1048"/>
      <c r="G12" s="1048"/>
      <c r="H12" s="1048"/>
      <c r="I12" s="1048"/>
      <c r="J12" s="1048"/>
      <c r="K12" s="1048"/>
      <c r="L12" s="1048"/>
      <c r="M12" s="1048"/>
      <c r="N12" s="1048"/>
      <c r="O12" s="1048"/>
      <c r="P12" s="1048"/>
      <c r="Q12" s="1048"/>
      <c r="R12" s="1032"/>
      <c r="S12" s="1033"/>
      <c r="T12" s="1032"/>
      <c r="U12" s="1032"/>
      <c r="V12" s="1032"/>
      <c r="W12" s="1032"/>
    </row>
    <row r="13" spans="1:23" ht="15">
      <c r="A13" s="1034" t="s">
        <v>1015</v>
      </c>
      <c r="B13" s="1077" t="s">
        <v>1016</v>
      </c>
      <c r="C13" s="1034" t="s">
        <v>1379</v>
      </c>
      <c r="D13" s="1034" t="s">
        <v>1376</v>
      </c>
      <c r="E13" s="1034" t="s">
        <v>1018</v>
      </c>
      <c r="F13" s="1035"/>
      <c r="G13" s="1034"/>
      <c r="H13" s="1034"/>
      <c r="I13" s="1080">
        <v>89738986.069832116</v>
      </c>
      <c r="J13" s="1081" t="s">
        <v>114</v>
      </c>
      <c r="K13" s="1080"/>
      <c r="L13" s="1080"/>
      <c r="M13" s="1080">
        <v>-5015879.7200000007</v>
      </c>
      <c r="N13" s="1080"/>
      <c r="O13" s="1080"/>
      <c r="P13" s="1082">
        <f>SUM(I13:O13)</f>
        <v>84723106.349832118</v>
      </c>
      <c r="Q13" s="1081" t="s">
        <v>114</v>
      </c>
      <c r="R13" s="1053" t="s">
        <v>1081</v>
      </c>
      <c r="S13" s="1033"/>
      <c r="T13" s="1032"/>
      <c r="U13" s="1032"/>
      <c r="V13" s="1032"/>
      <c r="W13" s="1032"/>
    </row>
    <row r="14" spans="1:23" ht="15">
      <c r="A14" s="1034" t="s">
        <v>1019</v>
      </c>
      <c r="B14" s="1077" t="s">
        <v>1020</v>
      </c>
      <c r="C14" s="1040" t="s">
        <v>1021</v>
      </c>
      <c r="D14" s="1040" t="s">
        <v>1022</v>
      </c>
      <c r="E14" s="1034" t="s">
        <v>1018</v>
      </c>
      <c r="F14" s="1035"/>
      <c r="G14" s="1034"/>
      <c r="H14" s="1034"/>
      <c r="I14" s="1081" t="s">
        <v>114</v>
      </c>
      <c r="J14" s="1053">
        <v>0</v>
      </c>
      <c r="K14" s="1049"/>
      <c r="L14" s="1049"/>
      <c r="M14" s="1049"/>
      <c r="N14" s="1049"/>
      <c r="O14" s="1049"/>
      <c r="P14" s="1081" t="s">
        <v>114</v>
      </c>
      <c r="Q14" s="1082">
        <f>SUM(I14:O14)</f>
        <v>0</v>
      </c>
      <c r="R14" s="1053"/>
      <c r="S14" s="1033"/>
      <c r="T14" s="1032"/>
      <c r="U14" s="1032"/>
      <c r="V14" s="1032"/>
      <c r="W14" s="1032"/>
    </row>
    <row r="15" spans="1:23" ht="15">
      <c r="A15" s="1034" t="s">
        <v>1023</v>
      </c>
      <c r="B15" s="1077" t="s">
        <v>1024</v>
      </c>
      <c r="C15" s="1040" t="s">
        <v>1025</v>
      </c>
      <c r="D15" s="1040" t="s">
        <v>1022</v>
      </c>
      <c r="E15" s="1034" t="s">
        <v>1018</v>
      </c>
      <c r="F15" s="1035"/>
      <c r="G15" s="1034"/>
      <c r="H15" s="1034"/>
      <c r="I15" s="1053">
        <v>0</v>
      </c>
      <c r="J15" s="1059" t="s">
        <v>114</v>
      </c>
      <c r="K15" s="1049"/>
      <c r="L15" s="1049"/>
      <c r="M15" s="1049"/>
      <c r="N15" s="1049"/>
      <c r="O15" s="1049"/>
      <c r="P15" s="1082">
        <f>SUM(I15:O15)</f>
        <v>0</v>
      </c>
      <c r="Q15" s="1081" t="s">
        <v>114</v>
      </c>
      <c r="R15" s="1053"/>
      <c r="S15" s="1033"/>
      <c r="T15" s="1032"/>
      <c r="U15" s="1032"/>
      <c r="V15" s="1032"/>
      <c r="W15" s="1032"/>
    </row>
    <row r="16" spans="1:23" ht="15">
      <c r="A16" s="1034" t="s">
        <v>1026</v>
      </c>
      <c r="B16" s="1077" t="s">
        <v>1027</v>
      </c>
      <c r="C16" s="1034" t="s">
        <v>1028</v>
      </c>
      <c r="D16" s="1034" t="s">
        <v>1022</v>
      </c>
      <c r="E16" s="1034" t="s">
        <v>1018</v>
      </c>
      <c r="F16" s="1054">
        <v>-344594481</v>
      </c>
      <c r="G16" s="1041" t="s">
        <v>1029</v>
      </c>
      <c r="H16" s="1041" t="s">
        <v>1030</v>
      </c>
      <c r="I16" s="1059"/>
      <c r="J16" s="1083">
        <v>-241170819.33430019</v>
      </c>
      <c r="K16" s="1083"/>
      <c r="L16" s="1083"/>
      <c r="M16" s="1083"/>
      <c r="N16" s="1083">
        <v>5428643</v>
      </c>
      <c r="O16" s="1083"/>
      <c r="P16" s="1059"/>
      <c r="Q16" s="1082">
        <f>SUM(I16:O16)</f>
        <v>-235742176.33430019</v>
      </c>
      <c r="R16" s="1247" t="s">
        <v>1082</v>
      </c>
      <c r="S16" s="1033"/>
      <c r="T16" s="1032"/>
      <c r="U16" s="1032"/>
      <c r="V16" s="1032"/>
      <c r="W16" s="1032"/>
    </row>
    <row r="17" spans="1:23" ht="15">
      <c r="A17" s="1034" t="s">
        <v>1031</v>
      </c>
      <c r="B17" s="1077" t="s">
        <v>1027</v>
      </c>
      <c r="C17" s="1034" t="s">
        <v>1028</v>
      </c>
      <c r="D17" s="1034" t="s">
        <v>1032</v>
      </c>
      <c r="E17" s="1034" t="s">
        <v>1018</v>
      </c>
      <c r="F17" s="1056">
        <v>-150814921</v>
      </c>
      <c r="G17" s="1041" t="s">
        <v>1033</v>
      </c>
      <c r="H17" s="1041" t="s">
        <v>1034</v>
      </c>
      <c r="I17" s="1059"/>
      <c r="J17" s="1049">
        <v>-65741187.914392114</v>
      </c>
      <c r="K17" s="1049"/>
      <c r="L17" s="1049"/>
      <c r="M17" s="1049"/>
      <c r="N17" s="1049">
        <v>5871615.4174232176</v>
      </c>
      <c r="O17" s="1049"/>
      <c r="P17" s="1059"/>
      <c r="Q17" s="1082">
        <f>SUM(I17:O17)</f>
        <v>-59869572.496968895</v>
      </c>
      <c r="R17" s="1247"/>
      <c r="S17" s="1033"/>
      <c r="T17" s="1032"/>
      <c r="U17" s="1032"/>
      <c r="V17" s="1032"/>
      <c r="W17" s="1032"/>
    </row>
    <row r="18" spans="1:23" ht="15">
      <c r="A18" s="1034" t="s">
        <v>1035</v>
      </c>
      <c r="B18" s="1077" t="s">
        <v>1036</v>
      </c>
      <c r="C18" s="1034" t="s">
        <v>1037</v>
      </c>
      <c r="D18" s="1034" t="s">
        <v>1022</v>
      </c>
      <c r="E18" s="1034" t="s">
        <v>1018</v>
      </c>
      <c r="F18" s="1056"/>
      <c r="G18" s="1041"/>
      <c r="H18" s="1041"/>
      <c r="I18" s="1049">
        <v>241170819.33430019</v>
      </c>
      <c r="J18" s="1059"/>
      <c r="K18" s="1049"/>
      <c r="L18" s="1049"/>
      <c r="M18" s="1083">
        <v>-5428643</v>
      </c>
      <c r="N18" s="1049"/>
      <c r="O18" s="1049"/>
      <c r="P18" s="1082">
        <f>SUM(I18:O18)</f>
        <v>235742176.33430019</v>
      </c>
      <c r="Q18" s="1059"/>
      <c r="R18" s="1248" t="s">
        <v>1083</v>
      </c>
      <c r="S18" s="1033"/>
      <c r="T18" s="1032"/>
      <c r="U18" s="1032"/>
      <c r="V18" s="1032"/>
      <c r="W18" s="1032"/>
    </row>
    <row r="19" spans="1:23" ht="15">
      <c r="A19" s="1034" t="s">
        <v>1038</v>
      </c>
      <c r="B19" s="1077" t="s">
        <v>1036</v>
      </c>
      <c r="C19" s="1034" t="s">
        <v>1037</v>
      </c>
      <c r="D19" s="1034" t="s">
        <v>1032</v>
      </c>
      <c r="E19" s="1034" t="s">
        <v>1018</v>
      </c>
      <c r="F19" s="1056"/>
      <c r="G19" s="1041"/>
      <c r="H19" s="1041"/>
      <c r="I19" s="1049">
        <v>65741187.914392114</v>
      </c>
      <c r="J19" s="1059"/>
      <c r="K19" s="1049"/>
      <c r="L19" s="1049"/>
      <c r="M19" s="1049">
        <v>-5871615.4174232176</v>
      </c>
      <c r="N19" s="1049"/>
      <c r="O19" s="1049"/>
      <c r="P19" s="1082">
        <f>SUM(I19:O19)</f>
        <v>59869572.496968895</v>
      </c>
      <c r="Q19" s="1059"/>
      <c r="R19" s="1248"/>
      <c r="S19" s="1033"/>
      <c r="T19" s="1032"/>
      <c r="U19" s="1032"/>
      <c r="V19" s="1032"/>
      <c r="W19" s="1032"/>
    </row>
    <row r="20" spans="1:23" ht="15">
      <c r="A20" s="1034" t="s">
        <v>1039</v>
      </c>
      <c r="B20" s="1077" t="s">
        <v>1040</v>
      </c>
      <c r="C20" s="1034" t="s">
        <v>1041</v>
      </c>
      <c r="D20" s="1034" t="s">
        <v>1032</v>
      </c>
      <c r="E20" s="1034" t="s">
        <v>1018</v>
      </c>
      <c r="F20" s="1056">
        <v>-31309465</v>
      </c>
      <c r="G20" s="1041" t="s">
        <v>1033</v>
      </c>
      <c r="H20" s="1041" t="s">
        <v>1034</v>
      </c>
      <c r="I20" s="1081" t="s">
        <v>114</v>
      </c>
      <c r="J20" s="1049">
        <v>-12204325.443498284</v>
      </c>
      <c r="K20" s="1049"/>
      <c r="L20" s="1049"/>
      <c r="M20" s="1049"/>
      <c r="N20" s="1049">
        <v>-10904187.516040128</v>
      </c>
      <c r="O20" s="1049"/>
      <c r="P20" s="1055" t="s">
        <v>114</v>
      </c>
      <c r="Q20" s="1082">
        <f>SUM(I20:O20)</f>
        <v>-23108512.959538411</v>
      </c>
      <c r="R20" s="1053" t="s">
        <v>1084</v>
      </c>
      <c r="S20" s="1033"/>
      <c r="T20" s="1032"/>
      <c r="U20" s="1032"/>
      <c r="V20" s="1032"/>
      <c r="W20" s="1032"/>
    </row>
    <row r="21" spans="1:23" ht="15">
      <c r="A21" s="1034" t="s">
        <v>1042</v>
      </c>
      <c r="B21" s="1077" t="s">
        <v>1043</v>
      </c>
      <c r="C21" s="1034" t="s">
        <v>1044</v>
      </c>
      <c r="D21" s="1034" t="s">
        <v>1032</v>
      </c>
      <c r="E21" s="1034" t="s">
        <v>1018</v>
      </c>
      <c r="F21" s="1054"/>
      <c r="G21" s="1041"/>
      <c r="H21" s="1041"/>
      <c r="I21" s="1049">
        <v>12204325.443498284</v>
      </c>
      <c r="J21" s="1050"/>
      <c r="K21" s="1049"/>
      <c r="L21" s="1049"/>
      <c r="M21" s="1049">
        <v>10904187.516040128</v>
      </c>
      <c r="N21" s="1049"/>
      <c r="O21" s="1049"/>
      <c r="P21" s="1082">
        <f>SUM(I21:O21)</f>
        <v>23108512.959538411</v>
      </c>
      <c r="Q21" s="1055"/>
      <c r="R21" s="1078" t="s">
        <v>1085</v>
      </c>
      <c r="S21" s="1033"/>
      <c r="T21" s="1032"/>
      <c r="U21" s="1032"/>
      <c r="V21" s="1032"/>
      <c r="W21" s="1032"/>
    </row>
    <row r="22" spans="1:23" ht="15">
      <c r="A22" s="1030" t="s">
        <v>1045</v>
      </c>
      <c r="B22" s="1188" t="s">
        <v>1139</v>
      </c>
      <c r="C22" s="1030" t="s">
        <v>1372</v>
      </c>
      <c r="D22" s="1030" t="s">
        <v>1376</v>
      </c>
      <c r="E22" s="1030" t="s">
        <v>1018</v>
      </c>
      <c r="F22" s="1189"/>
      <c r="G22" s="1190"/>
      <c r="H22" s="1190"/>
      <c r="I22" s="1191"/>
      <c r="J22" s="1192"/>
      <c r="K22" s="1192"/>
      <c r="L22" s="1192"/>
      <c r="M22" s="1192"/>
      <c r="N22" s="1192">
        <v>11491040.551487893</v>
      </c>
      <c r="O22" s="1192"/>
      <c r="P22" s="1193"/>
      <c r="Q22" s="1194">
        <f>SUM(J22:O22)</f>
        <v>11491040.551487893</v>
      </c>
      <c r="R22" s="1078"/>
      <c r="S22" s="1033"/>
      <c r="T22" s="1032"/>
      <c r="U22" s="1032"/>
      <c r="V22" s="1032"/>
      <c r="W22" s="1032"/>
    </row>
    <row r="23" spans="1:23" ht="15">
      <c r="A23" s="1030" t="s">
        <v>1381</v>
      </c>
      <c r="B23" s="1188" t="s">
        <v>1373</v>
      </c>
      <c r="C23" s="1030" t="s">
        <v>1017</v>
      </c>
      <c r="D23" s="1030" t="s">
        <v>1376</v>
      </c>
      <c r="E23" s="1030" t="s">
        <v>1018</v>
      </c>
      <c r="F23" s="1189"/>
      <c r="G23" s="1190"/>
      <c r="H23" s="1190"/>
      <c r="I23" s="1192"/>
      <c r="J23" s="1191"/>
      <c r="K23" s="1192"/>
      <c r="L23" s="1192">
        <v>-11491040.551487893</v>
      </c>
      <c r="M23" s="1192"/>
      <c r="N23" s="1192"/>
      <c r="O23" s="1192"/>
      <c r="P23" s="1194">
        <f t="shared" ref="P23:P26" si="0">SUM(I23:O23)</f>
        <v>-11491040.551487893</v>
      </c>
      <c r="Q23" s="1193"/>
      <c r="R23" s="1078"/>
      <c r="S23" s="1033"/>
      <c r="T23" s="1032"/>
      <c r="U23" s="1032"/>
      <c r="V23" s="1032"/>
      <c r="W23" s="1032"/>
    </row>
    <row r="24" spans="1:23" ht="15">
      <c r="A24" s="1030" t="s">
        <v>1382</v>
      </c>
      <c r="B24" s="1188" t="s">
        <v>1374</v>
      </c>
      <c r="C24" s="1030" t="s">
        <v>1375</v>
      </c>
      <c r="D24" s="1030" t="s">
        <v>1376</v>
      </c>
      <c r="E24" s="1030" t="s">
        <v>1377</v>
      </c>
      <c r="F24" s="1189"/>
      <c r="G24" s="1190"/>
      <c r="H24" s="1190"/>
      <c r="I24" s="1192"/>
      <c r="J24" s="1191"/>
      <c r="K24" s="1192"/>
      <c r="L24" s="1192"/>
      <c r="M24" s="1192">
        <v>4896443.43</v>
      </c>
      <c r="N24" s="1192"/>
      <c r="O24" s="1192"/>
      <c r="P24" s="1194">
        <f t="shared" si="0"/>
        <v>4896443.43</v>
      </c>
      <c r="Q24" s="1193"/>
      <c r="R24" s="1078"/>
      <c r="S24" s="1033"/>
      <c r="T24" s="1032"/>
      <c r="U24" s="1032"/>
      <c r="V24" s="1032"/>
      <c r="W24" s="1032"/>
    </row>
    <row r="25" spans="1:23" ht="15">
      <c r="A25" s="1030" t="s">
        <v>1383</v>
      </c>
      <c r="B25" s="1188" t="s">
        <v>1378</v>
      </c>
      <c r="C25" s="1030" t="s">
        <v>1379</v>
      </c>
      <c r="D25" s="1030" t="s">
        <v>1022</v>
      </c>
      <c r="E25" s="1030" t="s">
        <v>1018</v>
      </c>
      <c r="F25" s="1189"/>
      <c r="G25" s="1190"/>
      <c r="H25" s="1190"/>
      <c r="I25" s="1192"/>
      <c r="J25" s="1191"/>
      <c r="K25" s="1192"/>
      <c r="L25" s="1192">
        <v>-3054580.3997626025</v>
      </c>
      <c r="M25" s="1192"/>
      <c r="N25" s="1192"/>
      <c r="O25" s="1192"/>
      <c r="P25" s="1194">
        <f t="shared" si="0"/>
        <v>-3054580.3997626025</v>
      </c>
      <c r="Q25" s="1193"/>
      <c r="R25" s="1078"/>
      <c r="S25" s="1033"/>
      <c r="T25" s="1032"/>
      <c r="U25" s="1032"/>
      <c r="V25" s="1032"/>
      <c r="W25" s="1032"/>
    </row>
    <row r="26" spans="1:23" ht="15">
      <c r="A26" s="1195" t="s">
        <v>1384</v>
      </c>
      <c r="B26" s="1188" t="s">
        <v>1380</v>
      </c>
      <c r="C26" s="1030" t="s">
        <v>1375</v>
      </c>
      <c r="D26" s="1030" t="s">
        <v>1022</v>
      </c>
      <c r="E26" s="1030" t="s">
        <v>1377</v>
      </c>
      <c r="F26" s="1189"/>
      <c r="G26" s="1190"/>
      <c r="H26" s="1190"/>
      <c r="I26" s="1192"/>
      <c r="J26" s="1191"/>
      <c r="K26" s="1192"/>
      <c r="L26" s="1192">
        <v>-176534.86064328253</v>
      </c>
      <c r="M26" s="1192"/>
      <c r="N26" s="1192"/>
      <c r="O26" s="1192"/>
      <c r="P26" s="1194">
        <f t="shared" si="0"/>
        <v>-176534.86064328253</v>
      </c>
      <c r="Q26" s="1193"/>
      <c r="R26" s="1078"/>
      <c r="S26" s="1033"/>
      <c r="T26" s="1032"/>
      <c r="U26" s="1032"/>
      <c r="V26" s="1032"/>
      <c r="W26" s="1032"/>
    </row>
    <row r="27" spans="1:23" ht="15">
      <c r="A27" s="1195" t="s">
        <v>1385</v>
      </c>
      <c r="B27" s="1041" t="s">
        <v>1170</v>
      </c>
      <c r="C27" s="1033"/>
      <c r="D27" s="1034"/>
      <c r="E27" s="1034"/>
      <c r="F27" s="1054"/>
      <c r="G27" s="1041"/>
      <c r="H27" s="1041"/>
      <c r="I27" s="1049"/>
      <c r="J27" s="1049"/>
      <c r="K27" s="1049"/>
      <c r="L27" s="1049"/>
      <c r="M27" s="1049"/>
      <c r="N27" s="1049"/>
      <c r="O27" s="1049"/>
      <c r="P27" s="1052"/>
      <c r="Q27" s="1051"/>
      <c r="R27" s="1078"/>
      <c r="S27" s="1033"/>
      <c r="T27" s="1032"/>
      <c r="U27" s="1032"/>
      <c r="V27" s="1032"/>
      <c r="W27" s="1032"/>
    </row>
    <row r="28" spans="1:23" ht="15">
      <c r="A28" s="1033"/>
      <c r="B28" s="1033"/>
      <c r="C28" s="1033"/>
      <c r="D28" s="1033"/>
      <c r="E28" s="1033"/>
      <c r="F28" s="1033"/>
      <c r="G28" s="1033"/>
      <c r="H28" s="1033"/>
      <c r="I28" s="1033"/>
      <c r="J28" s="1033"/>
      <c r="K28" s="1033"/>
      <c r="L28" s="1033"/>
      <c r="M28" s="1033"/>
      <c r="N28" s="1033"/>
      <c r="O28" s="1033"/>
      <c r="P28" s="1085"/>
      <c r="Q28" s="1033"/>
      <c r="R28" s="1033"/>
      <c r="S28" s="1033"/>
      <c r="T28" s="1032"/>
      <c r="U28" s="1032"/>
      <c r="V28" s="1032"/>
      <c r="W28" s="1032"/>
    </row>
    <row r="29" spans="1:23" s="1032" customFormat="1" ht="15">
      <c r="A29" s="1034"/>
      <c r="B29" s="1047" t="s">
        <v>1046</v>
      </c>
      <c r="R29" s="1084"/>
      <c r="S29" s="1033"/>
    </row>
    <row r="30" spans="1:23" ht="11.45" customHeight="1">
      <c r="A30" s="1034" t="s">
        <v>1047</v>
      </c>
      <c r="B30" s="1035">
        <v>182.3</v>
      </c>
      <c r="C30" s="1058" t="s">
        <v>1048</v>
      </c>
      <c r="D30" s="1059" t="s">
        <v>114</v>
      </c>
      <c r="E30" s="1034" t="s">
        <v>1018</v>
      </c>
      <c r="F30" s="1059"/>
      <c r="G30" s="1059" t="s">
        <v>114</v>
      </c>
      <c r="H30" s="1059"/>
      <c r="I30" s="1060">
        <v>0</v>
      </c>
      <c r="J30" s="1059"/>
      <c r="K30" s="1049"/>
      <c r="L30" s="1049">
        <v>14722155.811893778</v>
      </c>
      <c r="M30" s="1049"/>
      <c r="N30" s="1059"/>
      <c r="O30" s="1059"/>
      <c r="P30" s="1092">
        <f>SUM(I30:O30)</f>
        <v>14722155.811893778</v>
      </c>
      <c r="Q30" s="1057"/>
      <c r="R30" s="1053" t="s">
        <v>1049</v>
      </c>
      <c r="S30" s="1033"/>
      <c r="T30" s="1032"/>
      <c r="U30" s="1032"/>
      <c r="V30" s="1032"/>
      <c r="W30" s="1032"/>
    </row>
    <row r="31" spans="1:23" ht="11.45" customHeight="1">
      <c r="A31" s="1034" t="s">
        <v>1050</v>
      </c>
      <c r="B31" s="1035">
        <v>254</v>
      </c>
      <c r="C31" s="1058" t="s">
        <v>1051</v>
      </c>
      <c r="D31" s="1059" t="s">
        <v>114</v>
      </c>
      <c r="E31" s="1034" t="s">
        <v>1018</v>
      </c>
      <c r="F31" s="1059"/>
      <c r="G31" s="1059" t="s">
        <v>114</v>
      </c>
      <c r="H31" s="1059"/>
      <c r="I31" s="1060">
        <v>-408855318.76202273</v>
      </c>
      <c r="J31" s="1059"/>
      <c r="K31" s="1049"/>
      <c r="L31" s="1049"/>
      <c r="M31" s="1049">
        <v>5411950.6213830896</v>
      </c>
      <c r="N31" s="1059"/>
      <c r="O31" s="1059"/>
      <c r="P31" s="1093">
        <f>SUM(I31:O31)</f>
        <v>-403443368.14063966</v>
      </c>
      <c r="Q31" s="1057"/>
      <c r="R31" s="1053" t="s">
        <v>1049</v>
      </c>
      <c r="S31" s="1033"/>
      <c r="T31" s="1032"/>
      <c r="U31" s="1032"/>
      <c r="V31" s="1032"/>
      <c r="W31" s="1032"/>
    </row>
    <row r="32" spans="1:23" ht="11.45" customHeight="1">
      <c r="A32" s="1034" t="s">
        <v>1052</v>
      </c>
      <c r="B32" s="1031">
        <v>254.00020000000001</v>
      </c>
      <c r="C32" s="1203" t="s">
        <v>1398</v>
      </c>
      <c r="D32" s="1059"/>
      <c r="E32" s="1030" t="s">
        <v>1377</v>
      </c>
      <c r="F32" s="1059"/>
      <c r="G32" s="1059"/>
      <c r="H32" s="1059"/>
      <c r="I32" s="1204"/>
      <c r="J32" s="1059"/>
      <c r="K32" s="1192"/>
      <c r="L32" s="1192"/>
      <c r="M32" s="1192">
        <v>-4896443.43</v>
      </c>
      <c r="N32" s="1059"/>
      <c r="O32" s="1059"/>
      <c r="P32" s="1093">
        <f>SUM(I32:O32)</f>
        <v>-4896443.43</v>
      </c>
      <c r="Q32" s="1057"/>
      <c r="R32" s="1053"/>
      <c r="S32" s="1033"/>
      <c r="T32" s="1032"/>
      <c r="U32" s="1032"/>
      <c r="V32" s="1032"/>
      <c r="W32" s="1032"/>
    </row>
    <row r="33" spans="1:23" ht="11.45" customHeight="1">
      <c r="A33" s="1034" t="s">
        <v>1399</v>
      </c>
      <c r="B33" s="1041" t="s">
        <v>1170</v>
      </c>
      <c r="C33" s="1058"/>
      <c r="D33" s="1059"/>
      <c r="E33" s="1034"/>
      <c r="F33" s="1059"/>
      <c r="G33" s="1059"/>
      <c r="H33" s="1059"/>
      <c r="I33" s="1049"/>
      <c r="J33" s="1059"/>
      <c r="K33" s="1049"/>
      <c r="L33" s="1049"/>
      <c r="M33" s="1049"/>
      <c r="N33" s="1059"/>
      <c r="O33" s="1059"/>
      <c r="P33" s="1091"/>
      <c r="Q33" s="1057"/>
      <c r="R33" s="1053"/>
      <c r="S33" s="1033"/>
      <c r="T33" s="1032"/>
      <c r="U33" s="1032"/>
      <c r="V33" s="1032"/>
      <c r="W33" s="1032"/>
    </row>
    <row r="34" spans="1:23" ht="15">
      <c r="A34" s="1033"/>
      <c r="B34" s="1035"/>
      <c r="C34" s="1058"/>
      <c r="D34" s="1040"/>
      <c r="E34" s="1040"/>
      <c r="F34" s="1040"/>
      <c r="G34" s="1040"/>
      <c r="H34" s="1040"/>
      <c r="I34" s="1040"/>
      <c r="J34" s="1040"/>
      <c r="K34" s="1040"/>
      <c r="L34" s="1040"/>
      <c r="M34" s="1040"/>
      <c r="N34" s="1040"/>
      <c r="O34" s="1040"/>
      <c r="P34" s="1040"/>
      <c r="Q34" s="1040"/>
      <c r="R34" s="1061"/>
      <c r="S34" s="1032"/>
      <c r="T34" s="1032"/>
      <c r="U34" s="1032"/>
      <c r="V34" s="1032"/>
      <c r="W34" s="1032"/>
    </row>
    <row r="35" spans="1:23" ht="12.75" customHeight="1" thickBot="1">
      <c r="A35" s="1074">
        <v>3</v>
      </c>
      <c r="B35" s="1250" t="s">
        <v>1070</v>
      </c>
      <c r="C35" s="1250"/>
      <c r="D35" s="1059"/>
      <c r="E35" s="1059"/>
      <c r="F35" s="1059"/>
      <c r="G35" s="1059"/>
      <c r="H35" s="1059"/>
      <c r="I35" s="1062">
        <f>SUM(I13:I34)</f>
        <v>0</v>
      </c>
      <c r="J35" s="1063">
        <f t="shared" ref="J35:Q35" si="1">SUM(J13:J34)</f>
        <v>-319116332.69219053</v>
      </c>
      <c r="K35" s="1064">
        <f t="shared" si="1"/>
        <v>0</v>
      </c>
      <c r="L35" s="1064">
        <f t="shared" si="1"/>
        <v>0</v>
      </c>
      <c r="M35" s="1063">
        <f t="shared" si="1"/>
        <v>0</v>
      </c>
      <c r="N35" s="1086">
        <f>-SUM(N13:N34)</f>
        <v>-11887111.452870984</v>
      </c>
      <c r="O35" s="1063">
        <f>-SUM(O13:O34)</f>
        <v>0</v>
      </c>
      <c r="P35" s="1064">
        <f t="shared" si="1"/>
        <v>-5.2154064178466797E-8</v>
      </c>
      <c r="Q35" s="1063">
        <f t="shared" si="1"/>
        <v>-307229221.23931956</v>
      </c>
      <c r="R35" s="1065"/>
      <c r="S35" s="1032"/>
      <c r="T35" s="1032"/>
      <c r="U35" s="1032"/>
      <c r="V35" s="1032"/>
      <c r="W35" s="1032"/>
    </row>
    <row r="36" spans="1:23" ht="15.75" thickTop="1">
      <c r="A36" s="1033"/>
      <c r="B36" s="1035"/>
      <c r="C36" s="1058"/>
      <c r="D36" s="1040"/>
      <c r="E36" s="1040"/>
      <c r="F36" s="1040"/>
      <c r="G36" s="1040"/>
      <c r="H36" s="1040"/>
      <c r="I36" s="1066"/>
      <c r="J36" s="1056"/>
      <c r="K36" s="1067"/>
      <c r="L36" s="1067"/>
      <c r="M36" s="1067"/>
      <c r="N36" s="1068" t="s">
        <v>1069</v>
      </c>
      <c r="O36" s="1068"/>
      <c r="P36" s="1067"/>
      <c r="Q36" s="1069"/>
      <c r="R36" s="1065"/>
      <c r="S36" s="1032"/>
      <c r="T36" s="1032"/>
      <c r="U36" s="1032"/>
      <c r="V36" s="1032"/>
      <c r="W36" s="1032"/>
    </row>
    <row r="37" spans="1:23">
      <c r="A37" s="1041" t="s">
        <v>1053</v>
      </c>
      <c r="B37" s="1035"/>
      <c r="C37" s="1058"/>
      <c r="D37" s="1040"/>
      <c r="E37" s="1040"/>
      <c r="F37" s="1040"/>
      <c r="G37" s="1040"/>
      <c r="H37" s="1040"/>
      <c r="I37" s="1066"/>
      <c r="J37" s="1056"/>
      <c r="K37" s="1067"/>
      <c r="L37" s="1067"/>
      <c r="M37" s="1067"/>
      <c r="N37" s="1056"/>
      <c r="O37" s="1056"/>
      <c r="P37" s="1067"/>
      <c r="Q37" s="1069"/>
      <c r="R37" s="1065"/>
      <c r="S37" s="1032"/>
      <c r="T37" s="1032"/>
      <c r="U37" s="1032"/>
      <c r="V37" s="1032"/>
      <c r="W37" s="1032"/>
    </row>
    <row r="38" spans="1:23" ht="15">
      <c r="A38" s="1033"/>
      <c r="B38" s="1034"/>
      <c r="C38" s="1033"/>
      <c r="D38" s="1046"/>
      <c r="E38" s="1046"/>
      <c r="F38" s="1046"/>
      <c r="G38" s="1046"/>
      <c r="H38" s="1046"/>
      <c r="I38" s="1046"/>
      <c r="J38" s="1046"/>
      <c r="K38" s="1046"/>
      <c r="L38" s="1046"/>
      <c r="M38" s="1046"/>
      <c r="N38" s="1046"/>
      <c r="O38" s="1046"/>
      <c r="P38" s="1246" t="s">
        <v>1013</v>
      </c>
      <c r="Q38" s="1246"/>
      <c r="R38" s="1045"/>
      <c r="S38" s="1032"/>
      <c r="T38" s="1032"/>
      <c r="U38" s="1032"/>
      <c r="V38" s="1032"/>
      <c r="W38" s="1032"/>
    </row>
    <row r="39" spans="1:23" ht="15">
      <c r="A39" s="1033"/>
      <c r="B39" s="1047" t="s">
        <v>1014</v>
      </c>
      <c r="C39" s="1048"/>
      <c r="D39" s="1048"/>
      <c r="E39" s="1048"/>
      <c r="F39" s="1048"/>
      <c r="G39" s="1048"/>
      <c r="H39" s="1048"/>
      <c r="I39" s="1048"/>
      <c r="J39" s="1048"/>
      <c r="K39" s="1048"/>
      <c r="L39" s="1048"/>
      <c r="M39" s="1048"/>
      <c r="N39" s="1048"/>
      <c r="O39" s="1048"/>
      <c r="P39" s="1048"/>
      <c r="Q39" s="1048"/>
      <c r="R39" s="1032"/>
      <c r="S39" s="1032"/>
      <c r="T39" s="1032"/>
      <c r="U39" s="1032"/>
      <c r="V39" s="1032"/>
      <c r="W39" s="1032"/>
    </row>
    <row r="40" spans="1:23">
      <c r="A40" s="1034" t="s">
        <v>1054</v>
      </c>
      <c r="B40" s="1077" t="s">
        <v>1016</v>
      </c>
      <c r="C40" s="1034" t="s">
        <v>1017</v>
      </c>
      <c r="D40" s="1034" t="s">
        <v>1376</v>
      </c>
      <c r="E40" s="1034" t="s">
        <v>1018</v>
      </c>
      <c r="F40" s="1035"/>
      <c r="G40" s="1034"/>
      <c r="H40" s="1034"/>
      <c r="I40" s="1049">
        <v>31176367.836108524</v>
      </c>
      <c r="J40" s="1050"/>
      <c r="K40" s="1049"/>
      <c r="L40" s="1049"/>
      <c r="M40" s="1049">
        <v>-3949868.3000000003</v>
      </c>
      <c r="N40" s="1049"/>
      <c r="O40" s="1049"/>
      <c r="P40" s="1082">
        <f>SUM(I40:O40)</f>
        <v>27226499.536108524</v>
      </c>
      <c r="Q40" s="1059"/>
      <c r="R40" s="1053" t="s">
        <v>630</v>
      </c>
      <c r="S40" s="1032"/>
      <c r="T40" s="1032"/>
      <c r="U40" s="1032"/>
      <c r="V40" s="1032"/>
      <c r="W40" s="1032"/>
    </row>
    <row r="41" spans="1:23">
      <c r="A41" s="1034" t="s">
        <v>1055</v>
      </c>
      <c r="B41" s="1077" t="s">
        <v>1027</v>
      </c>
      <c r="C41" s="1034" t="s">
        <v>1028</v>
      </c>
      <c r="D41" s="1034" t="s">
        <v>1022</v>
      </c>
      <c r="E41" s="1034" t="s">
        <v>1018</v>
      </c>
      <c r="F41" s="1054">
        <v>-123296457</v>
      </c>
      <c r="G41" s="1041" t="s">
        <v>1029</v>
      </c>
      <c r="H41" s="1041" t="s">
        <v>1030</v>
      </c>
      <c r="I41" s="1059"/>
      <c r="J41" s="1049">
        <v>-93828921.962500125</v>
      </c>
      <c r="K41" s="1049"/>
      <c r="L41" s="1049"/>
      <c r="M41" s="1049"/>
      <c r="N41" s="1049">
        <v>2466175</v>
      </c>
      <c r="O41" s="1049"/>
      <c r="P41" s="1059"/>
      <c r="Q41" s="1082">
        <f>SUM(I41:O41)</f>
        <v>-91362746.962500125</v>
      </c>
      <c r="R41" s="1247" t="s">
        <v>1086</v>
      </c>
      <c r="S41" s="1032"/>
      <c r="T41" s="1032"/>
      <c r="U41" s="1032"/>
      <c r="V41" s="1032"/>
      <c r="W41" s="1032"/>
    </row>
    <row r="42" spans="1:23">
      <c r="A42" s="1034" t="s">
        <v>1056</v>
      </c>
      <c r="B42" s="1077" t="s">
        <v>1027</v>
      </c>
      <c r="C42" s="1034" t="s">
        <v>1028</v>
      </c>
      <c r="D42" s="1034" t="s">
        <v>1032</v>
      </c>
      <c r="E42" s="1034" t="s">
        <v>1018</v>
      </c>
      <c r="F42" s="1056">
        <v>-36241536</v>
      </c>
      <c r="G42" s="1041" t="s">
        <v>1033</v>
      </c>
      <c r="H42" s="1041" t="s">
        <v>1034</v>
      </c>
      <c r="I42" s="1059"/>
      <c r="J42" s="1049">
        <v>-16573475.628066173</v>
      </c>
      <c r="K42" s="1049"/>
      <c r="L42" s="1049"/>
      <c r="M42" s="1049"/>
      <c r="N42" s="1049">
        <v>5524491.4300294686</v>
      </c>
      <c r="O42" s="1049"/>
      <c r="P42" s="1059"/>
      <c r="Q42" s="1082">
        <f>SUM(I42:O42)</f>
        <v>-11048984.198036704</v>
      </c>
      <c r="R42" s="1247"/>
      <c r="S42" s="1032"/>
      <c r="T42" s="1032"/>
      <c r="U42" s="1032"/>
      <c r="V42" s="1032"/>
      <c r="W42" s="1032"/>
    </row>
    <row r="43" spans="1:23">
      <c r="A43" s="1034" t="s">
        <v>1057</v>
      </c>
      <c r="B43" s="1077" t="s">
        <v>1036</v>
      </c>
      <c r="C43" s="1034" t="s">
        <v>1037</v>
      </c>
      <c r="D43" s="1034" t="s">
        <v>1022</v>
      </c>
      <c r="E43" s="1034" t="s">
        <v>1018</v>
      </c>
      <c r="F43" s="1056"/>
      <c r="G43" s="1041"/>
      <c r="H43" s="1041"/>
      <c r="I43" s="1049">
        <v>93828921.962500125</v>
      </c>
      <c r="J43" s="1059"/>
      <c r="K43" s="1049"/>
      <c r="L43" s="1049"/>
      <c r="M43" s="1049">
        <v>-2466175</v>
      </c>
      <c r="N43" s="1049"/>
      <c r="O43" s="1049"/>
      <c r="P43" s="1082">
        <f>SUM(I43:O43)</f>
        <v>91362746.962500125</v>
      </c>
      <c r="Q43" s="1059"/>
      <c r="R43" s="1248" t="s">
        <v>630</v>
      </c>
      <c r="S43" s="1032"/>
      <c r="T43" s="1032"/>
      <c r="U43" s="1032"/>
      <c r="V43" s="1032"/>
      <c r="W43" s="1032"/>
    </row>
    <row r="44" spans="1:23">
      <c r="A44" s="1034" t="s">
        <v>1058</v>
      </c>
      <c r="B44" s="1077" t="s">
        <v>1036</v>
      </c>
      <c r="C44" s="1034" t="s">
        <v>1037</v>
      </c>
      <c r="D44" s="1034" t="s">
        <v>1032</v>
      </c>
      <c r="E44" s="1034" t="s">
        <v>1018</v>
      </c>
      <c r="F44" s="1056"/>
      <c r="G44" s="1041"/>
      <c r="H44" s="1041"/>
      <c r="I44" s="1049">
        <v>16573475.628066173</v>
      </c>
      <c r="J44" s="1059"/>
      <c r="K44" s="1049"/>
      <c r="L44" s="1049"/>
      <c r="M44" s="1049">
        <v>-5524491.4300294686</v>
      </c>
      <c r="N44" s="1049"/>
      <c r="O44" s="1049"/>
      <c r="P44" s="1082">
        <f>SUM(I44:O44)</f>
        <v>11048984.198036704</v>
      </c>
      <c r="Q44" s="1059"/>
      <c r="R44" s="1248"/>
      <c r="S44" s="1032"/>
      <c r="T44" s="1032"/>
      <c r="U44" s="1032"/>
      <c r="V44" s="1032"/>
      <c r="W44" s="1032"/>
    </row>
    <row r="45" spans="1:23">
      <c r="A45" s="1034" t="s">
        <v>1059</v>
      </c>
      <c r="B45" s="1077" t="s">
        <v>1040</v>
      </c>
      <c r="C45" s="1034" t="s">
        <v>1041</v>
      </c>
      <c r="D45" s="1034" t="s">
        <v>1032</v>
      </c>
      <c r="E45" s="1034" t="s">
        <v>1018</v>
      </c>
      <c r="F45" s="1056">
        <v>-5504494</v>
      </c>
      <c r="G45" s="1041" t="s">
        <v>1033</v>
      </c>
      <c r="H45" s="1041" t="s">
        <v>1034</v>
      </c>
      <c r="I45" s="1050" t="s">
        <v>114</v>
      </c>
      <c r="J45" s="1049">
        <v>-462331.49971460528</v>
      </c>
      <c r="K45" s="1049"/>
      <c r="L45" s="1049"/>
      <c r="M45" s="1049"/>
      <c r="N45" s="1049">
        <v>450560.31326490693</v>
      </c>
      <c r="O45" s="1049"/>
      <c r="P45" s="1055" t="s">
        <v>114</v>
      </c>
      <c r="Q45" s="1082">
        <f>SUM(I45:O45)</f>
        <v>-11771.186449698347</v>
      </c>
      <c r="R45" s="1053" t="s">
        <v>1087</v>
      </c>
      <c r="S45" s="1032"/>
      <c r="T45" s="1032"/>
      <c r="U45" s="1032"/>
      <c r="V45" s="1032"/>
      <c r="W45" s="1032"/>
    </row>
    <row r="46" spans="1:23">
      <c r="A46" s="1034" t="s">
        <v>1060</v>
      </c>
      <c r="B46" s="1077" t="s">
        <v>1043</v>
      </c>
      <c r="C46" s="1034" t="s">
        <v>1044</v>
      </c>
      <c r="D46" s="1034" t="s">
        <v>1032</v>
      </c>
      <c r="E46" s="1034" t="s">
        <v>1018</v>
      </c>
      <c r="F46" s="1054"/>
      <c r="G46" s="1041"/>
      <c r="H46" s="1041"/>
      <c r="I46" s="1049">
        <v>462330.49971460528</v>
      </c>
      <c r="J46" s="1050"/>
      <c r="K46" s="1049"/>
      <c r="L46" s="1049"/>
      <c r="M46" s="1049">
        <v>-450560.31326490693</v>
      </c>
      <c r="N46" s="1049"/>
      <c r="O46" s="1049"/>
      <c r="P46" s="1082">
        <f>SUM(I46:O46)</f>
        <v>11770.186449698347</v>
      </c>
      <c r="Q46" s="1055"/>
      <c r="R46" s="1078" t="s">
        <v>630</v>
      </c>
      <c r="S46" s="1032"/>
      <c r="T46" s="1032"/>
      <c r="U46" s="1032"/>
      <c r="V46" s="1032"/>
      <c r="W46" s="1032"/>
    </row>
    <row r="47" spans="1:23" ht="12.75">
      <c r="A47" s="1030" t="s">
        <v>1061</v>
      </c>
      <c r="B47" s="1196" t="s">
        <v>1386</v>
      </c>
      <c r="C47" s="1195" t="s">
        <v>1372</v>
      </c>
      <c r="D47" s="1195" t="s">
        <v>1022</v>
      </c>
      <c r="E47" s="1195" t="s">
        <v>1018</v>
      </c>
      <c r="F47" s="1197"/>
      <c r="G47" s="1198"/>
      <c r="H47" s="1199"/>
      <c r="I47" s="1191"/>
      <c r="J47" s="1192"/>
      <c r="K47" s="1192"/>
      <c r="L47" s="1192"/>
      <c r="M47" s="1192"/>
      <c r="N47" s="1192">
        <v>53394.256705624677</v>
      </c>
      <c r="O47" s="1192"/>
      <c r="P47" s="1200"/>
      <c r="Q47" s="1201">
        <f t="shared" ref="Q47" si="2">SUM(J47:O47)</f>
        <v>53394.256705624677</v>
      </c>
      <c r="R47" s="1078"/>
      <c r="S47" s="1032"/>
      <c r="T47" s="1032"/>
      <c r="U47" s="1032"/>
      <c r="V47" s="1032"/>
      <c r="W47" s="1032"/>
    </row>
    <row r="48" spans="1:23">
      <c r="A48" s="1030" t="s">
        <v>1390</v>
      </c>
      <c r="B48" s="1202" t="s">
        <v>1016</v>
      </c>
      <c r="C48" s="1195" t="s">
        <v>1372</v>
      </c>
      <c r="D48" s="1195" t="s">
        <v>1376</v>
      </c>
      <c r="E48" s="1195" t="s">
        <v>1018</v>
      </c>
      <c r="F48" s="1197"/>
      <c r="G48" s="1198"/>
      <c r="H48" s="1199"/>
      <c r="I48" s="1192"/>
      <c r="J48" s="1191"/>
      <c r="K48" s="1192"/>
      <c r="L48" s="1192">
        <v>-53394.256705624677</v>
      </c>
      <c r="M48" s="1192"/>
      <c r="N48" s="1192"/>
      <c r="O48" s="1192"/>
      <c r="P48" s="1194">
        <f t="shared" ref="P48:P51" si="3">SUM(I48:O48)</f>
        <v>-53394.256705624677</v>
      </c>
      <c r="Q48" s="1200"/>
      <c r="R48" s="1078"/>
      <c r="S48" s="1032"/>
      <c r="T48" s="1032"/>
      <c r="U48" s="1032"/>
      <c r="V48" s="1032"/>
      <c r="W48" s="1032"/>
    </row>
    <row r="49" spans="1:23">
      <c r="A49" s="1030" t="s">
        <v>1391</v>
      </c>
      <c r="B49" s="1202" t="s">
        <v>1387</v>
      </c>
      <c r="C49" s="1195" t="s">
        <v>1375</v>
      </c>
      <c r="D49" s="1195" t="s">
        <v>1376</v>
      </c>
      <c r="E49" s="1030" t="s">
        <v>1377</v>
      </c>
      <c r="F49" s="1197"/>
      <c r="G49" s="1198"/>
      <c r="H49" s="1199"/>
      <c r="I49" s="1192"/>
      <c r="J49" s="1191"/>
      <c r="K49" s="1192"/>
      <c r="L49" s="1192"/>
      <c r="M49" s="1192">
        <v>1573514.2200000002</v>
      </c>
      <c r="N49" s="1192"/>
      <c r="O49" s="1192"/>
      <c r="P49" s="1194">
        <f t="shared" si="3"/>
        <v>1573514.2200000002</v>
      </c>
      <c r="Q49" s="1200"/>
      <c r="R49" s="1078"/>
      <c r="S49" s="1032"/>
      <c r="T49" s="1032"/>
      <c r="U49" s="1032"/>
      <c r="V49" s="1032"/>
      <c r="W49" s="1032"/>
    </row>
    <row r="50" spans="1:23" ht="12.75">
      <c r="A50" s="1030" t="s">
        <v>1392</v>
      </c>
      <c r="B50" s="1202" t="s">
        <v>1388</v>
      </c>
      <c r="C50" t="s">
        <v>1379</v>
      </c>
      <c r="D50" s="1195" t="s">
        <v>1376</v>
      </c>
      <c r="E50" s="1195" t="s">
        <v>1018</v>
      </c>
      <c r="F50" s="1197"/>
      <c r="G50" s="1198"/>
      <c r="H50" s="1199"/>
      <c r="I50" s="1192"/>
      <c r="J50" s="1191"/>
      <c r="K50" s="1192"/>
      <c r="L50" s="1192">
        <v>-14193.410010355918</v>
      </c>
      <c r="M50" s="1192"/>
      <c r="N50" s="1192"/>
      <c r="O50" s="1192"/>
      <c r="P50" s="1194">
        <f t="shared" si="3"/>
        <v>-14193.410010355918</v>
      </c>
      <c r="Q50" s="1200"/>
      <c r="R50" s="1078"/>
      <c r="S50" s="1032"/>
      <c r="T50" s="1032"/>
      <c r="U50" s="1032"/>
      <c r="V50" s="1032"/>
      <c r="W50" s="1032"/>
    </row>
    <row r="51" spans="1:23" ht="12.75">
      <c r="A51" s="1195" t="s">
        <v>1393</v>
      </c>
      <c r="B51" s="1202" t="s">
        <v>1389</v>
      </c>
      <c r="C51" t="s">
        <v>1375</v>
      </c>
      <c r="D51" s="1195" t="s">
        <v>1022</v>
      </c>
      <c r="E51" s="1030" t="s">
        <v>1377</v>
      </c>
      <c r="F51" s="1197"/>
      <c r="G51" s="1198"/>
      <c r="H51" s="1199"/>
      <c r="I51" s="1192"/>
      <c r="J51" s="1191"/>
      <c r="K51" s="1192"/>
      <c r="L51" s="1192">
        <v>-820.28669418094796</v>
      </c>
      <c r="M51" s="1192"/>
      <c r="N51" s="1192"/>
      <c r="O51" s="1192"/>
      <c r="P51" s="1194">
        <f t="shared" si="3"/>
        <v>-820.28669418094796</v>
      </c>
      <c r="Q51" s="1200"/>
      <c r="R51" s="1078"/>
      <c r="S51" s="1032"/>
      <c r="T51" s="1032"/>
      <c r="U51" s="1032"/>
      <c r="V51" s="1032"/>
      <c r="W51" s="1032"/>
    </row>
    <row r="52" spans="1:23" ht="15">
      <c r="A52" s="1195" t="s">
        <v>1394</v>
      </c>
      <c r="B52" s="1041" t="s">
        <v>1170</v>
      </c>
      <c r="C52" s="1033"/>
      <c r="D52" s="1034"/>
      <c r="E52" s="1034"/>
      <c r="F52" s="1054"/>
      <c r="G52" s="1041"/>
      <c r="H52" s="1041"/>
      <c r="I52" s="1049"/>
      <c r="J52" s="1049"/>
      <c r="K52" s="1049"/>
      <c r="L52" s="1049"/>
      <c r="M52" s="1049"/>
      <c r="N52" s="1049"/>
      <c r="O52" s="1049"/>
      <c r="P52" s="1052"/>
      <c r="Q52" s="1051"/>
      <c r="R52" s="1078"/>
      <c r="S52" s="1032"/>
      <c r="T52" s="1032"/>
      <c r="U52" s="1032"/>
      <c r="V52" s="1032"/>
      <c r="W52" s="1032"/>
    </row>
    <row r="53" spans="1:23" ht="15">
      <c r="A53" s="1033"/>
      <c r="B53" s="1033"/>
      <c r="C53" s="1033"/>
      <c r="D53" s="1033"/>
      <c r="E53" s="1033"/>
      <c r="F53" s="1033"/>
      <c r="G53" s="1033"/>
      <c r="H53" s="1033"/>
      <c r="I53" s="1033"/>
      <c r="J53" s="1033"/>
      <c r="K53" s="1033"/>
      <c r="L53" s="1033"/>
      <c r="M53" s="1033"/>
      <c r="N53" s="1033"/>
      <c r="O53" s="1033"/>
      <c r="P53" s="1033"/>
      <c r="Q53" s="1033"/>
      <c r="R53" s="1033"/>
      <c r="S53" s="1032"/>
      <c r="T53" s="1032"/>
      <c r="U53" s="1032"/>
      <c r="V53" s="1032"/>
      <c r="W53" s="1032"/>
    </row>
    <row r="54" spans="1:23" ht="15">
      <c r="A54" s="1033"/>
      <c r="B54" s="1047" t="s">
        <v>1046</v>
      </c>
      <c r="C54" s="1032"/>
      <c r="D54" s="1032"/>
      <c r="E54" s="1032"/>
      <c r="F54" s="1032"/>
      <c r="G54" s="1032"/>
      <c r="H54" s="1032"/>
      <c r="I54" s="1032"/>
      <c r="J54" s="1032"/>
      <c r="K54" s="1032"/>
      <c r="L54" s="1032"/>
      <c r="M54" s="1032"/>
      <c r="N54" s="1032"/>
      <c r="O54" s="1032"/>
      <c r="P54" s="1032"/>
      <c r="Q54" s="1032"/>
      <c r="R54" s="1032"/>
      <c r="S54" s="1032"/>
      <c r="T54" s="1032"/>
      <c r="U54" s="1032"/>
      <c r="V54" s="1032"/>
      <c r="W54" s="1032"/>
    </row>
    <row r="55" spans="1:23">
      <c r="A55" s="1034" t="s">
        <v>615</v>
      </c>
      <c r="B55" s="1035">
        <v>182.3</v>
      </c>
      <c r="C55" s="1058" t="s">
        <v>1048</v>
      </c>
      <c r="D55" s="1059" t="s">
        <v>114</v>
      </c>
      <c r="E55" s="1034" t="s">
        <v>1018</v>
      </c>
      <c r="F55" s="1059"/>
      <c r="G55" s="1059" t="s">
        <v>114</v>
      </c>
      <c r="H55" s="1059"/>
      <c r="I55" s="1060">
        <v>0</v>
      </c>
      <c r="J55" s="1059"/>
      <c r="K55" s="1049"/>
      <c r="L55" s="1049">
        <v>68407.953410161543</v>
      </c>
      <c r="M55" s="1049"/>
      <c r="N55" s="1059"/>
      <c r="O55" s="1059"/>
      <c r="P55" s="1092">
        <f>SUM(I55:O55)</f>
        <v>68407.953410161543</v>
      </c>
      <c r="Q55" s="1057"/>
      <c r="R55" s="1053" t="s">
        <v>1049</v>
      </c>
      <c r="S55" s="1032"/>
      <c r="T55" s="1032"/>
      <c r="U55" s="1032"/>
      <c r="V55" s="1032"/>
      <c r="W55" s="1032"/>
    </row>
    <row r="56" spans="1:23">
      <c r="A56" s="1034" t="s">
        <v>616</v>
      </c>
      <c r="B56" s="1035">
        <v>254</v>
      </c>
      <c r="C56" s="1058" t="s">
        <v>1051</v>
      </c>
      <c r="D56" s="1059" t="s">
        <v>114</v>
      </c>
      <c r="E56" s="1034" t="s">
        <v>1018</v>
      </c>
      <c r="F56" s="1059"/>
      <c r="G56" s="1059" t="s">
        <v>114</v>
      </c>
      <c r="H56" s="1059"/>
      <c r="I56" s="1060">
        <v>-142041095.92638943</v>
      </c>
      <c r="J56" s="1059"/>
      <c r="K56" s="1049"/>
      <c r="L56" s="1049"/>
      <c r="M56" s="1049">
        <v>12391095.043294376</v>
      </c>
      <c r="N56" s="1059"/>
      <c r="O56" s="1059"/>
      <c r="P56" s="1092">
        <f>SUM(I56:O56)</f>
        <v>-129650000.88309506</v>
      </c>
      <c r="Q56" s="1057"/>
      <c r="R56" s="1053" t="s">
        <v>1049</v>
      </c>
      <c r="S56" s="1032"/>
      <c r="T56" s="1032"/>
      <c r="U56" s="1032"/>
      <c r="V56" s="1032"/>
      <c r="W56" s="1032"/>
    </row>
    <row r="57" spans="1:23">
      <c r="A57" s="1034" t="s">
        <v>1062</v>
      </c>
      <c r="B57" s="1031">
        <v>254.00020000000001</v>
      </c>
      <c r="C57" s="1203" t="s">
        <v>1398</v>
      </c>
      <c r="D57" s="1059"/>
      <c r="E57" s="1030" t="s">
        <v>1377</v>
      </c>
      <c r="F57" s="1059"/>
      <c r="G57" s="1059"/>
      <c r="H57" s="1059"/>
      <c r="I57" s="1204"/>
      <c r="J57" s="1059"/>
      <c r="K57" s="1192"/>
      <c r="L57" s="1192"/>
      <c r="M57" s="1192">
        <v>-1573514.2200000002</v>
      </c>
      <c r="N57" s="1059"/>
      <c r="O57" s="1059"/>
      <c r="P57" s="1093">
        <f>SUM(I57:O57)</f>
        <v>-1573514.2200000002</v>
      </c>
      <c r="Q57" s="1057"/>
      <c r="R57" s="1053"/>
      <c r="S57" s="1032"/>
      <c r="T57" s="1032"/>
      <c r="U57" s="1032"/>
      <c r="V57" s="1032"/>
      <c r="W57" s="1032"/>
    </row>
    <row r="58" spans="1:23">
      <c r="A58" s="1034" t="s">
        <v>1400</v>
      </c>
      <c r="B58" s="1041" t="s">
        <v>1170</v>
      </c>
      <c r="C58" s="1058"/>
      <c r="D58" s="1059"/>
      <c r="E58" s="1034"/>
      <c r="F58" s="1059"/>
      <c r="G58" s="1059"/>
      <c r="H58" s="1059"/>
      <c r="I58" s="1049"/>
      <c r="J58" s="1059"/>
      <c r="K58" s="1049"/>
      <c r="L58" s="1049"/>
      <c r="M58" s="1049"/>
      <c r="N58" s="1059"/>
      <c r="O58" s="1059"/>
      <c r="P58" s="1091"/>
      <c r="Q58" s="1057"/>
      <c r="R58" s="1053"/>
      <c r="S58" s="1032"/>
      <c r="T58" s="1032"/>
      <c r="U58" s="1032"/>
      <c r="V58" s="1032"/>
      <c r="W58" s="1032"/>
    </row>
    <row r="59" spans="1:23" ht="15">
      <c r="A59" s="1033"/>
      <c r="B59" s="1035"/>
      <c r="C59" s="1058"/>
      <c r="D59" s="1040"/>
      <c r="E59" s="1040"/>
      <c r="F59" s="1040"/>
      <c r="G59" s="1040"/>
      <c r="H59" s="1040"/>
      <c r="I59" s="1040"/>
      <c r="J59" s="1040"/>
      <c r="K59" s="1040"/>
      <c r="L59" s="1040"/>
      <c r="M59" s="1040"/>
      <c r="N59" s="1040"/>
      <c r="O59" s="1040"/>
      <c r="P59" s="1040"/>
      <c r="Q59" s="1040"/>
      <c r="R59" s="1061"/>
      <c r="S59" s="1032"/>
      <c r="T59" s="1032"/>
      <c r="U59" s="1032"/>
      <c r="V59" s="1032"/>
      <c r="W59" s="1032"/>
    </row>
    <row r="60" spans="1:23" ht="12.75" customHeight="1" thickBot="1">
      <c r="A60" s="1074">
        <v>6</v>
      </c>
      <c r="B60" s="1250" t="s">
        <v>1071</v>
      </c>
      <c r="C60" s="1250"/>
      <c r="D60" s="1059"/>
      <c r="E60" s="1059"/>
      <c r="F60" s="1059"/>
      <c r="G60" s="1059"/>
      <c r="H60" s="1059"/>
      <c r="I60" s="1062">
        <f>SUM(I40:I58)</f>
        <v>0</v>
      </c>
      <c r="J60" s="1063">
        <f t="shared" ref="J60:Q60" si="4">SUM(J40:J58)</f>
        <v>-110864729.09028089</v>
      </c>
      <c r="K60" s="1064">
        <f t="shared" si="4"/>
        <v>0</v>
      </c>
      <c r="L60" s="1064">
        <f t="shared" si="4"/>
        <v>0</v>
      </c>
      <c r="M60" s="1063">
        <f t="shared" si="4"/>
        <v>0</v>
      </c>
      <c r="N60" s="1086">
        <f>-SUM(N40:N58)</f>
        <v>-8494621</v>
      </c>
      <c r="O60" s="1063">
        <f>-SUM(O40:O58)</f>
        <v>0</v>
      </c>
      <c r="P60" s="1064">
        <f t="shared" si="4"/>
        <v>-1.6298145055770874E-8</v>
      </c>
      <c r="Q60" s="1063">
        <f t="shared" si="4"/>
        <v>-102370108.09028089</v>
      </c>
      <c r="R60" s="1065"/>
      <c r="S60" s="1032"/>
      <c r="T60" s="1032"/>
      <c r="U60" s="1032"/>
      <c r="V60" s="1032"/>
      <c r="W60" s="1032"/>
    </row>
    <row r="61" spans="1:23" ht="15.75" thickTop="1">
      <c r="A61" s="1033"/>
      <c r="B61" s="1035"/>
      <c r="C61" s="1058"/>
      <c r="D61" s="1040"/>
      <c r="E61" s="1040"/>
      <c r="F61" s="1040"/>
      <c r="G61" s="1040"/>
      <c r="H61" s="1040"/>
      <c r="I61" s="1066"/>
      <c r="J61" s="1056"/>
      <c r="K61" s="1067"/>
      <c r="L61" s="1067"/>
      <c r="M61" s="1067"/>
      <c r="N61" s="1068" t="s">
        <v>1069</v>
      </c>
      <c r="O61" s="1056"/>
      <c r="P61" s="1067"/>
      <c r="Q61" s="1069"/>
      <c r="R61" s="1065"/>
      <c r="S61" s="1032"/>
      <c r="T61" s="1032"/>
      <c r="U61" s="1032"/>
      <c r="V61" s="1032"/>
      <c r="W61" s="1032"/>
    </row>
    <row r="62" spans="1:23" ht="15">
      <c r="A62" s="1033"/>
      <c r="B62" s="1035"/>
      <c r="C62" s="1058"/>
      <c r="D62" s="1040"/>
      <c r="E62" s="1040"/>
      <c r="F62" s="1040"/>
      <c r="G62" s="1040"/>
      <c r="H62" s="1040"/>
      <c r="I62" s="1066"/>
      <c r="J62" s="1056"/>
      <c r="K62" s="1067"/>
      <c r="L62" s="1067"/>
      <c r="M62" s="1067"/>
      <c r="N62" s="1056"/>
      <c r="O62" s="1056"/>
      <c r="P62" s="1067"/>
      <c r="Q62" s="1069"/>
      <c r="R62" s="1065"/>
      <c r="S62" s="1032"/>
      <c r="T62" s="1032"/>
      <c r="U62" s="1032"/>
      <c r="V62" s="1032"/>
      <c r="W62" s="1032"/>
    </row>
    <row r="63" spans="1:23" ht="18.600000000000001" customHeight="1">
      <c r="A63" s="1249" t="s">
        <v>1072</v>
      </c>
      <c r="B63" s="1249"/>
      <c r="C63" s="1249"/>
      <c r="D63" s="1249"/>
      <c r="E63" s="1249"/>
      <c r="F63" s="1249"/>
      <c r="G63" s="1249"/>
      <c r="H63" s="1249"/>
      <c r="I63" s="1249"/>
      <c r="J63" s="1249"/>
      <c r="K63" s="1067"/>
      <c r="L63" s="1067"/>
      <c r="M63" s="1067"/>
      <c r="N63" s="1056"/>
      <c r="O63" s="1056"/>
      <c r="P63" s="1067"/>
      <c r="Q63" s="1069"/>
      <c r="R63" s="1065"/>
      <c r="S63" s="1032"/>
      <c r="T63" s="1032"/>
      <c r="U63" s="1032"/>
      <c r="V63" s="1032"/>
      <c r="W63" s="1032"/>
    </row>
    <row r="64" spans="1:23" ht="23.1" customHeight="1">
      <c r="A64" s="1249"/>
      <c r="B64" s="1249"/>
      <c r="C64" s="1249"/>
      <c r="D64" s="1249"/>
      <c r="E64" s="1249"/>
      <c r="F64" s="1249"/>
      <c r="G64" s="1249"/>
      <c r="H64" s="1249"/>
      <c r="I64" s="1249"/>
      <c r="J64" s="1249"/>
      <c r="K64" s="1067"/>
      <c r="L64" s="1067"/>
      <c r="M64" s="1067"/>
      <c r="N64" s="1056"/>
      <c r="O64" s="1056"/>
      <c r="P64" s="1067"/>
      <c r="Q64" s="1069"/>
      <c r="R64" s="1065"/>
      <c r="S64" s="1032"/>
      <c r="T64" s="1032"/>
      <c r="U64" s="1032"/>
      <c r="V64" s="1032"/>
      <c r="W64" s="1032"/>
    </row>
    <row r="65" spans="1:23" ht="15" customHeight="1">
      <c r="A65" s="1033"/>
      <c r="B65" s="1035"/>
      <c r="C65" s="1058"/>
      <c r="D65" s="1040"/>
      <c r="E65" s="1040"/>
      <c r="F65" s="1040"/>
      <c r="G65" s="1040"/>
      <c r="H65" s="1040"/>
      <c r="I65" s="1066"/>
      <c r="J65" s="1056"/>
      <c r="K65" s="1067"/>
      <c r="L65" s="1067"/>
      <c r="M65" s="1067"/>
      <c r="N65" s="1056"/>
      <c r="O65" s="1056"/>
      <c r="P65" s="1067"/>
      <c r="Q65" s="1069"/>
      <c r="R65" s="1065"/>
      <c r="S65" s="1032"/>
      <c r="T65" s="1032"/>
      <c r="U65" s="1032"/>
      <c r="V65" s="1032"/>
      <c r="W65" s="1032"/>
    </row>
    <row r="66" spans="1:23" ht="15">
      <c r="A66" s="1033"/>
      <c r="B66" s="1034"/>
      <c r="C66" s="1058"/>
      <c r="D66" s="1040"/>
      <c r="E66" s="1040"/>
      <c r="F66" s="1040"/>
      <c r="G66" s="1040"/>
      <c r="H66" s="1040"/>
      <c r="I66" s="1066"/>
      <c r="J66" s="1069"/>
      <c r="K66" s="1067"/>
      <c r="L66" s="1067"/>
      <c r="M66" s="1067"/>
      <c r="N66" s="1069"/>
      <c r="O66" s="1069"/>
      <c r="P66" s="1067"/>
      <c r="Q66" s="1069"/>
      <c r="R66" s="1065"/>
      <c r="S66" s="1032"/>
      <c r="T66" s="1032"/>
      <c r="U66" s="1032"/>
      <c r="V66" s="1032"/>
      <c r="W66" s="1032"/>
    </row>
    <row r="67" spans="1:23">
      <c r="A67" s="1070" t="s">
        <v>1063</v>
      </c>
      <c r="B67" s="1245" t="s">
        <v>1171</v>
      </c>
      <c r="C67" s="1245"/>
      <c r="D67" s="1245"/>
      <c r="E67" s="1245"/>
      <c r="F67" s="1245"/>
      <c r="G67" s="1245"/>
      <c r="H67" s="1245"/>
      <c r="I67" s="1245"/>
      <c r="J67" s="1245"/>
      <c r="K67" s="1070"/>
    </row>
    <row r="68" spans="1:23">
      <c r="A68" s="1034"/>
      <c r="B68" s="1245"/>
      <c r="C68" s="1245"/>
      <c r="D68" s="1245"/>
      <c r="E68" s="1245"/>
      <c r="F68" s="1245"/>
      <c r="G68" s="1245"/>
      <c r="H68" s="1245"/>
      <c r="I68" s="1245"/>
      <c r="J68" s="1245"/>
      <c r="K68" s="1070"/>
    </row>
    <row r="69" spans="1:23">
      <c r="A69" s="1034"/>
      <c r="B69" s="1245"/>
      <c r="C69" s="1245"/>
      <c r="D69" s="1245"/>
      <c r="E69" s="1245"/>
      <c r="F69" s="1245"/>
      <c r="G69" s="1245"/>
      <c r="H69" s="1245"/>
      <c r="I69" s="1245"/>
      <c r="J69" s="1245"/>
      <c r="K69" s="1070"/>
    </row>
    <row r="70" spans="1:23">
      <c r="A70" s="1034"/>
      <c r="B70" s="1245"/>
      <c r="C70" s="1245"/>
      <c r="D70" s="1245"/>
      <c r="E70" s="1245"/>
      <c r="F70" s="1245"/>
      <c r="G70" s="1245"/>
      <c r="H70" s="1245"/>
      <c r="I70" s="1245"/>
      <c r="J70" s="1245"/>
      <c r="K70" s="1070"/>
    </row>
    <row r="71" spans="1:23">
      <c r="A71" s="1034"/>
      <c r="B71" s="1245"/>
      <c r="C71" s="1245"/>
      <c r="D71" s="1245"/>
      <c r="E71" s="1245"/>
      <c r="F71" s="1245"/>
      <c r="G71" s="1245"/>
      <c r="H71" s="1245"/>
      <c r="I71" s="1245"/>
      <c r="J71" s="1245"/>
      <c r="K71" s="1070"/>
    </row>
    <row r="72" spans="1:23">
      <c r="A72" s="1034"/>
      <c r="B72" s="1071"/>
      <c r="C72" s="1071"/>
      <c r="D72" s="1071"/>
      <c r="E72" s="1071"/>
      <c r="F72" s="1071"/>
      <c r="G72" s="1071"/>
      <c r="H72" s="1071"/>
      <c r="I72" s="1071"/>
      <c r="J72" s="1071"/>
      <c r="K72" s="1070"/>
    </row>
    <row r="73" spans="1:23">
      <c r="A73" s="1034" t="s">
        <v>1064</v>
      </c>
      <c r="B73" s="1073" t="s">
        <v>1065</v>
      </c>
      <c r="C73" s="1073"/>
      <c r="D73" s="1073"/>
      <c r="E73" s="1073"/>
      <c r="F73" s="1073"/>
      <c r="G73" s="1073"/>
      <c r="H73" s="1073"/>
      <c r="I73" s="1073"/>
      <c r="J73" s="1073"/>
      <c r="K73" s="1070"/>
    </row>
    <row r="74" spans="1:23">
      <c r="A74" s="1034"/>
      <c r="B74" s="1073"/>
      <c r="C74" s="1073"/>
      <c r="D74" s="1073"/>
      <c r="E74" s="1073"/>
      <c r="F74" s="1073"/>
      <c r="G74" s="1073"/>
      <c r="H74" s="1073"/>
      <c r="I74" s="1073"/>
      <c r="J74" s="1073"/>
      <c r="K74" s="1070"/>
    </row>
    <row r="75" spans="1:23">
      <c r="A75" s="1034" t="s">
        <v>1066</v>
      </c>
      <c r="B75" s="1245" t="s">
        <v>1172</v>
      </c>
      <c r="C75" s="1245"/>
      <c r="D75" s="1245"/>
      <c r="E75" s="1245"/>
      <c r="F75" s="1245"/>
      <c r="G75" s="1245"/>
      <c r="H75" s="1245"/>
      <c r="I75" s="1245"/>
      <c r="J75" s="1245"/>
    </row>
    <row r="76" spans="1:23">
      <c r="A76" s="1034"/>
      <c r="B76" s="1245"/>
      <c r="C76" s="1245"/>
      <c r="D76" s="1245"/>
      <c r="E76" s="1245"/>
      <c r="F76" s="1245"/>
      <c r="G76" s="1245"/>
      <c r="H76" s="1245"/>
      <c r="I76" s="1245"/>
      <c r="J76" s="1245"/>
    </row>
    <row r="77" spans="1:23">
      <c r="A77" s="1034"/>
      <c r="B77" s="1071"/>
      <c r="C77" s="1071"/>
      <c r="D77" s="1071"/>
      <c r="E77" s="1071"/>
      <c r="F77" s="1071"/>
      <c r="G77" s="1071"/>
      <c r="H77" s="1071"/>
      <c r="I77" s="1071"/>
      <c r="J77" s="1071"/>
    </row>
    <row r="78" spans="1:23">
      <c r="A78" s="1034" t="s">
        <v>1067</v>
      </c>
      <c r="B78" s="1034" t="s">
        <v>1173</v>
      </c>
      <c r="C78" s="1034"/>
      <c r="D78" s="1034"/>
      <c r="E78" s="1034"/>
      <c r="F78" s="1034"/>
      <c r="G78" s="1034"/>
      <c r="H78" s="1034"/>
      <c r="I78" s="1034"/>
      <c r="J78" s="1034"/>
    </row>
    <row r="79" spans="1:23">
      <c r="A79" s="1034"/>
      <c r="B79" s="1074"/>
      <c r="C79" s="1071"/>
      <c r="D79" s="1071"/>
      <c r="E79" s="1071"/>
      <c r="F79" s="1071"/>
      <c r="G79" s="1071"/>
      <c r="H79" s="1071"/>
      <c r="I79" s="1071"/>
      <c r="J79" s="1071"/>
    </row>
    <row r="80" spans="1:23">
      <c r="A80" s="1074" t="s">
        <v>1068</v>
      </c>
      <c r="B80" s="1245" t="s">
        <v>1174</v>
      </c>
      <c r="C80" s="1245"/>
      <c r="D80" s="1245"/>
      <c r="E80" s="1245"/>
      <c r="F80" s="1245"/>
      <c r="G80" s="1245"/>
      <c r="H80" s="1245"/>
      <c r="I80" s="1245"/>
      <c r="J80" s="1071"/>
    </row>
    <row r="81" spans="1:10">
      <c r="A81" s="1034"/>
      <c r="B81" s="1245"/>
      <c r="C81" s="1245"/>
      <c r="D81" s="1245"/>
      <c r="E81" s="1245"/>
      <c r="F81" s="1245"/>
      <c r="G81" s="1245"/>
      <c r="H81" s="1245"/>
      <c r="I81" s="1245"/>
      <c r="J81" s="1071"/>
    </row>
    <row r="82" spans="1:10">
      <c r="A82" s="1034"/>
      <c r="B82" s="1035"/>
      <c r="C82" s="1034"/>
      <c r="D82" s="1034"/>
      <c r="E82" s="1034"/>
      <c r="F82" s="1034"/>
      <c r="G82" s="1034"/>
      <c r="H82" s="1034"/>
      <c r="I82" s="1034"/>
      <c r="J82" s="1034"/>
    </row>
    <row r="83" spans="1:10">
      <c r="A83" s="1074" t="s">
        <v>1073</v>
      </c>
      <c r="B83" s="1245" t="s">
        <v>1175</v>
      </c>
      <c r="C83" s="1245"/>
      <c r="D83" s="1245"/>
      <c r="E83" s="1245"/>
      <c r="F83" s="1245"/>
      <c r="G83" s="1245"/>
      <c r="H83" s="1245"/>
      <c r="I83" s="1245"/>
      <c r="J83" s="1034"/>
    </row>
    <row r="84" spans="1:10">
      <c r="A84" s="1034"/>
      <c r="B84" s="1245"/>
      <c r="C84" s="1245"/>
      <c r="D84" s="1245"/>
      <c r="E84" s="1245"/>
      <c r="F84" s="1245"/>
      <c r="G84" s="1245"/>
      <c r="H84" s="1245"/>
      <c r="I84" s="1245"/>
      <c r="J84" s="1034"/>
    </row>
    <row r="85" spans="1:10">
      <c r="A85" s="1034"/>
      <c r="B85" s="1035"/>
      <c r="C85" s="1034"/>
      <c r="D85" s="1034"/>
      <c r="E85" s="1034"/>
      <c r="F85" s="1034"/>
      <c r="G85" s="1034"/>
      <c r="H85" s="1034"/>
      <c r="I85" s="1034"/>
      <c r="J85" s="1034"/>
    </row>
    <row r="86" spans="1:10">
      <c r="A86" s="1034"/>
      <c r="B86" s="1074"/>
      <c r="C86" s="1034"/>
      <c r="D86" s="1034"/>
      <c r="E86" s="1034"/>
      <c r="F86" s="1034"/>
      <c r="G86" s="1034"/>
      <c r="H86" s="1034"/>
      <c r="I86" s="1034"/>
      <c r="J86" s="1034"/>
    </row>
    <row r="87" spans="1:10">
      <c r="A87" s="1034"/>
      <c r="B87" s="1034"/>
      <c r="C87" s="1034"/>
      <c r="D87" s="1034"/>
      <c r="E87" s="1034"/>
      <c r="F87" s="1034"/>
      <c r="G87" s="1034"/>
      <c r="H87" s="1034"/>
      <c r="I87" s="1034"/>
      <c r="J87" s="1034"/>
    </row>
    <row r="88" spans="1:10">
      <c r="A88" s="1034"/>
      <c r="B88" s="1034"/>
      <c r="C88" s="1034"/>
      <c r="D88" s="1034"/>
      <c r="E88" s="1034"/>
      <c r="F88" s="1034"/>
      <c r="G88" s="1034"/>
      <c r="H88" s="1034"/>
      <c r="I88" s="1034"/>
      <c r="J88" s="1034"/>
    </row>
    <row r="89" spans="1:10">
      <c r="A89" s="1034"/>
      <c r="B89" s="1034"/>
      <c r="C89" s="1034"/>
      <c r="D89" s="1034"/>
      <c r="E89" s="1034"/>
      <c r="F89" s="1034"/>
      <c r="G89" s="1034"/>
      <c r="H89" s="1034"/>
      <c r="I89" s="1034"/>
      <c r="J89" s="1034"/>
    </row>
    <row r="90" spans="1:10">
      <c r="A90" s="1034"/>
      <c r="B90" s="1034"/>
      <c r="C90" s="1034"/>
      <c r="D90" s="1034"/>
      <c r="E90" s="1034"/>
      <c r="F90" s="1034"/>
      <c r="G90" s="1034"/>
      <c r="H90" s="1034"/>
      <c r="I90" s="1034"/>
      <c r="J90" s="1034"/>
    </row>
    <row r="91" spans="1:10">
      <c r="A91" s="1075"/>
      <c r="B91" s="1070"/>
      <c r="C91" s="1070"/>
      <c r="D91" s="1070"/>
      <c r="E91" s="1070"/>
      <c r="F91" s="1070"/>
      <c r="G91" s="1070"/>
      <c r="H91" s="1070"/>
      <c r="I91" s="1070"/>
      <c r="J91" s="1070"/>
    </row>
    <row r="92" spans="1:10">
      <c r="A92" s="1070"/>
      <c r="B92" s="1070"/>
      <c r="C92" s="1070"/>
      <c r="D92" s="1070"/>
      <c r="E92" s="1070"/>
      <c r="F92" s="1070"/>
      <c r="G92" s="1070"/>
      <c r="H92" s="1070"/>
      <c r="I92" s="1070"/>
      <c r="J92" s="1070"/>
    </row>
    <row r="93" spans="1:10">
      <c r="A93" s="1070"/>
      <c r="B93" s="1070"/>
      <c r="C93" s="1070"/>
      <c r="D93" s="1070"/>
      <c r="E93" s="1070"/>
      <c r="F93" s="1070"/>
      <c r="G93" s="1070"/>
      <c r="H93" s="1070"/>
      <c r="I93" s="1070"/>
      <c r="J93" s="1070"/>
    </row>
    <row r="94" spans="1:10">
      <c r="A94" s="1070"/>
      <c r="B94" s="1070"/>
      <c r="C94" s="1070"/>
      <c r="D94" s="1070"/>
      <c r="E94" s="1070"/>
      <c r="F94" s="1070"/>
      <c r="G94" s="1070"/>
      <c r="H94" s="1070"/>
      <c r="I94" s="1070"/>
      <c r="J94" s="1070"/>
    </row>
    <row r="95" spans="1:10">
      <c r="A95" s="1070"/>
      <c r="B95" s="1070"/>
      <c r="C95" s="1070"/>
      <c r="D95" s="1076"/>
      <c r="E95" s="1076"/>
      <c r="F95" s="1076"/>
      <c r="G95" s="1070"/>
      <c r="H95" s="1070"/>
      <c r="I95" s="1070"/>
      <c r="J95" s="1070"/>
    </row>
    <row r="96" spans="1:10">
      <c r="A96" s="1070"/>
      <c r="B96" s="1070"/>
      <c r="C96" s="1070"/>
      <c r="D96" s="1072"/>
      <c r="E96" s="1072"/>
      <c r="F96" s="1072"/>
      <c r="G96" s="1070"/>
      <c r="H96" s="1070"/>
      <c r="I96" s="1070"/>
      <c r="J96" s="1070"/>
    </row>
    <row r="97" spans="1:10">
      <c r="A97" s="1070"/>
      <c r="B97" s="1070"/>
      <c r="C97" s="1070"/>
      <c r="D97" s="1076"/>
      <c r="E97" s="1076"/>
      <c r="F97" s="1076"/>
      <c r="G97" s="1070"/>
      <c r="H97" s="1070"/>
      <c r="I97" s="1070"/>
      <c r="J97" s="1070"/>
    </row>
  </sheetData>
  <mergeCells count="17">
    <mergeCell ref="R41:R42"/>
    <mergeCell ref="R43:R44"/>
    <mergeCell ref="A63:J64"/>
    <mergeCell ref="B60:C60"/>
    <mergeCell ref="N9:O9"/>
    <mergeCell ref="P9:Q9"/>
    <mergeCell ref="P11:Q11"/>
    <mergeCell ref="R18:R19"/>
    <mergeCell ref="B35:C35"/>
    <mergeCell ref="R16:R17"/>
    <mergeCell ref="I9:J9"/>
    <mergeCell ref="K9:M9"/>
    <mergeCell ref="B67:J71"/>
    <mergeCell ref="B75:J76"/>
    <mergeCell ref="B80:I81"/>
    <mergeCell ref="B83:I84"/>
    <mergeCell ref="P38:Q38"/>
  </mergeCells>
  <pageMargins left="0.7" right="0.7" top="0.75" bottom="0.75" header="0.3" footer="0.3"/>
  <pageSetup scale="4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pageSetUpPr fitToPage="1"/>
  </sheetPr>
  <dimension ref="A1:N60"/>
  <sheetViews>
    <sheetView tabSelected="1" workbookViewId="0">
      <selection activeCell="D11" sqref="D11"/>
    </sheetView>
  </sheetViews>
  <sheetFormatPr defaultRowHeight="12.75"/>
  <cols>
    <col min="1" max="2" width="9.140625" style="1108"/>
    <col min="3" max="3" width="3.85546875" style="1108" customWidth="1"/>
    <col min="4" max="4" width="16.42578125" style="1108" customWidth="1"/>
    <col min="5" max="5" width="30.85546875" style="1108" bestFit="1" customWidth="1"/>
    <col min="6" max="6" width="17.7109375" style="1108" customWidth="1"/>
    <col min="7" max="7" width="4.140625" style="1108" customWidth="1"/>
    <col min="8" max="8" width="15.85546875" style="1108" customWidth="1"/>
    <col min="9" max="9" width="5.85546875" style="1108" customWidth="1"/>
    <col min="10" max="10" width="14.42578125" style="1108" customWidth="1"/>
    <col min="11" max="11" width="3" style="1108" customWidth="1"/>
    <col min="12" max="12" width="16.7109375" style="1108" customWidth="1"/>
    <col min="13" max="13" width="12" style="1108" customWidth="1"/>
    <col min="14" max="14" width="16.85546875" style="1108" customWidth="1"/>
    <col min="15" max="16384" width="9.140625" style="1108"/>
  </cols>
  <sheetData>
    <row r="1" spans="1:14" ht="15">
      <c r="A1" s="1107" t="s">
        <v>1113</v>
      </c>
      <c r="L1" s="1109"/>
      <c r="N1" s="1110" t="s">
        <v>1114</v>
      </c>
    </row>
    <row r="2" spans="1:14">
      <c r="A2" s="1111" t="s">
        <v>787</v>
      </c>
      <c r="L2" s="1112"/>
      <c r="N2" s="1113" t="s">
        <v>1115</v>
      </c>
    </row>
    <row r="3" spans="1:14">
      <c r="A3" s="1107" t="s">
        <v>1116</v>
      </c>
      <c r="N3" s="1113" t="s">
        <v>1117</v>
      </c>
    </row>
    <row r="4" spans="1:14">
      <c r="A4" s="1107" t="s">
        <v>1118</v>
      </c>
      <c r="N4" s="1110" t="s">
        <v>1119</v>
      </c>
    </row>
    <row r="5" spans="1:14">
      <c r="A5" s="1107" t="s">
        <v>1120</v>
      </c>
    </row>
    <row r="6" spans="1:14">
      <c r="A6" s="1107" t="s">
        <v>999</v>
      </c>
    </row>
    <row r="7" spans="1:14">
      <c r="A7" s="1256" t="s">
        <v>1121</v>
      </c>
      <c r="B7" s="1256"/>
      <c r="C7" s="1256"/>
      <c r="D7" s="1256"/>
      <c r="E7" s="1256"/>
      <c r="F7" s="1256"/>
      <c r="G7" s="1256"/>
      <c r="H7" s="1256"/>
      <c r="I7" s="1256"/>
      <c r="J7" s="1256"/>
      <c r="K7" s="1256"/>
      <c r="L7" s="1256"/>
      <c r="M7" s="1256"/>
      <c r="N7" s="1256"/>
    </row>
    <row r="8" spans="1:14">
      <c r="A8" s="1107"/>
    </row>
    <row r="9" spans="1:14">
      <c r="A9" s="1114" t="s">
        <v>148</v>
      </c>
      <c r="B9" s="1115" t="s">
        <v>149</v>
      </c>
      <c r="C9" s="1115"/>
      <c r="D9" s="1115" t="s">
        <v>150</v>
      </c>
      <c r="E9" s="1115" t="s">
        <v>151</v>
      </c>
      <c r="F9" s="1115" t="s">
        <v>152</v>
      </c>
      <c r="G9" s="1115"/>
      <c r="H9" s="1115" t="s">
        <v>1122</v>
      </c>
      <c r="I9" s="1115"/>
      <c r="J9" s="1115" t="s">
        <v>154</v>
      </c>
      <c r="K9" s="1115"/>
      <c r="L9" s="1115" t="s">
        <v>1123</v>
      </c>
      <c r="M9" s="1115" t="s">
        <v>156</v>
      </c>
      <c r="N9" s="1115" t="s">
        <v>1124</v>
      </c>
    </row>
    <row r="10" spans="1:14">
      <c r="A10" s="1107"/>
      <c r="F10" s="1116"/>
      <c r="G10" s="1116"/>
      <c r="H10" s="1116"/>
    </row>
    <row r="11" spans="1:14" ht="51">
      <c r="A11" s="1107" t="s">
        <v>1125</v>
      </c>
      <c r="B11" s="1108" t="s">
        <v>1126</v>
      </c>
      <c r="D11" s="1117" t="s">
        <v>1127</v>
      </c>
      <c r="E11" s="1115" t="s">
        <v>1012</v>
      </c>
      <c r="F11" s="1117" t="s">
        <v>1128</v>
      </c>
      <c r="G11" s="1117"/>
      <c r="H11" s="1117" t="s">
        <v>1129</v>
      </c>
      <c r="J11" s="1117" t="s">
        <v>1130</v>
      </c>
      <c r="L11" s="1117" t="s">
        <v>1131</v>
      </c>
      <c r="M11" s="1117" t="s">
        <v>1132</v>
      </c>
      <c r="N11" s="1117" t="s">
        <v>1133</v>
      </c>
    </row>
    <row r="12" spans="1:14">
      <c r="A12" s="1107"/>
      <c r="D12" s="1117"/>
      <c r="E12" s="1115"/>
      <c r="F12" s="1117"/>
      <c r="G12" s="1117"/>
      <c r="H12" s="1117"/>
      <c r="J12" s="1117"/>
      <c r="L12" s="1117"/>
      <c r="N12" s="1116"/>
    </row>
    <row r="13" spans="1:14">
      <c r="A13" s="1118" t="s">
        <v>1134</v>
      </c>
      <c r="D13" s="1117"/>
      <c r="E13" s="1115"/>
      <c r="F13" s="1117"/>
      <c r="G13" s="1117"/>
      <c r="H13" s="1117"/>
      <c r="J13" s="1117"/>
      <c r="L13" s="1117"/>
      <c r="N13" s="1116"/>
    </row>
    <row r="14" spans="1:14">
      <c r="A14" s="1107"/>
      <c r="D14" s="1119"/>
      <c r="E14" s="1119"/>
      <c r="F14" s="1120"/>
      <c r="G14" s="1120"/>
      <c r="H14" s="1120"/>
      <c r="I14" s="1120"/>
      <c r="J14" s="1120"/>
      <c r="K14" s="1120"/>
      <c r="L14" s="1120"/>
      <c r="M14" s="1120"/>
      <c r="N14" s="1120"/>
    </row>
    <row r="15" spans="1:14">
      <c r="A15" s="1121">
        <v>1</v>
      </c>
      <c r="B15" s="1122" t="s">
        <v>1135</v>
      </c>
      <c r="D15" s="1119">
        <v>103620308</v>
      </c>
      <c r="E15" s="1119" t="s">
        <v>1136</v>
      </c>
      <c r="H15" s="1123"/>
      <c r="M15" s="1120"/>
      <c r="N15" s="1120"/>
    </row>
    <row r="16" spans="1:14" ht="25.5">
      <c r="A16" s="1121">
        <f>+A15+1</f>
        <v>2</v>
      </c>
      <c r="B16" s="1122"/>
      <c r="D16" s="1124">
        <v>-38108885</v>
      </c>
      <c r="E16" s="1125" t="s">
        <v>1137</v>
      </c>
      <c r="M16" s="1120"/>
      <c r="N16" s="1120"/>
    </row>
    <row r="17" spans="1:14">
      <c r="A17" s="1121">
        <f>+A16+1</f>
        <v>3</v>
      </c>
      <c r="B17" s="1122"/>
      <c r="D17" s="1126">
        <v>42177</v>
      </c>
      <c r="E17" s="1119" t="s">
        <v>1138</v>
      </c>
      <c r="H17" s="1127"/>
      <c r="I17" s="1128"/>
      <c r="K17" s="1120"/>
      <c r="M17" s="1120"/>
      <c r="N17" s="1120"/>
    </row>
    <row r="18" spans="1:14">
      <c r="A18" s="1121">
        <f>++A17+1</f>
        <v>4</v>
      </c>
      <c r="B18" s="1122" t="s">
        <v>1139</v>
      </c>
      <c r="D18" s="1119">
        <f>+D15-D16-D17</f>
        <v>141687016</v>
      </c>
      <c r="E18" s="1122"/>
      <c r="F18" s="1120">
        <v>50746202.979999997</v>
      </c>
      <c r="G18" s="1120"/>
      <c r="H18" s="1127">
        <f>+F18/D18</f>
        <v>0.35815704510284835</v>
      </c>
      <c r="I18" s="1128"/>
      <c r="J18" s="1120">
        <f>-F18</f>
        <v>-50746202.979999997</v>
      </c>
      <c r="K18" s="1120"/>
      <c r="L18" s="1120">
        <f>+F18+J18</f>
        <v>0</v>
      </c>
      <c r="M18" s="1120"/>
      <c r="N18" s="1120">
        <f>+D18-L18</f>
        <v>141687016</v>
      </c>
    </row>
    <row r="19" spans="1:14">
      <c r="A19" s="1107"/>
      <c r="B19" s="1122"/>
      <c r="D19" s="1119"/>
      <c r="E19" s="1119"/>
      <c r="F19" s="1127"/>
      <c r="G19" s="1127"/>
      <c r="H19" s="1127"/>
      <c r="I19" s="1128"/>
      <c r="J19" s="1120"/>
      <c r="K19" s="1120"/>
      <c r="L19" s="1120"/>
      <c r="M19" s="1120"/>
      <c r="N19" s="1120"/>
    </row>
    <row r="20" spans="1:14">
      <c r="A20" s="1121">
        <f>+A18+1</f>
        <v>5</v>
      </c>
      <c r="B20" s="1122" t="s">
        <v>1140</v>
      </c>
      <c r="D20" s="1119">
        <v>0</v>
      </c>
      <c r="E20" s="1119" t="s">
        <v>1141</v>
      </c>
      <c r="F20" s="1120">
        <v>0</v>
      </c>
      <c r="G20" s="1120"/>
      <c r="H20" s="1127"/>
      <c r="I20" s="1257"/>
      <c r="J20" s="1120"/>
      <c r="K20" s="1120"/>
      <c r="L20" s="1120">
        <v>0</v>
      </c>
      <c r="M20" s="1120"/>
      <c r="N20" s="1120"/>
    </row>
    <row r="21" spans="1:14">
      <c r="A21" s="1121"/>
      <c r="B21" s="1122"/>
      <c r="D21" s="1119"/>
      <c r="E21" s="1119"/>
      <c r="F21" s="1123"/>
      <c r="G21" s="1123"/>
      <c r="H21" s="1127"/>
      <c r="I21" s="1257"/>
      <c r="J21" s="1120"/>
      <c r="K21" s="1120"/>
      <c r="L21" s="1120"/>
      <c r="N21" s="1120"/>
    </row>
    <row r="22" spans="1:14">
      <c r="A22" s="1121">
        <f>++A20+1</f>
        <v>6</v>
      </c>
      <c r="B22" s="1122" t="s">
        <v>1142</v>
      </c>
      <c r="D22" s="1119">
        <v>-1220427286</v>
      </c>
      <c r="E22" s="1119" t="s">
        <v>1143</v>
      </c>
      <c r="F22" s="1120">
        <v>-488451481.18999994</v>
      </c>
      <c r="G22" s="1120"/>
      <c r="H22" s="1127">
        <f>+F22/D22</f>
        <v>0.40022989226250383</v>
      </c>
      <c r="I22" s="1258"/>
      <c r="J22" s="1120">
        <v>-6957920.4000000004</v>
      </c>
      <c r="K22" s="1120"/>
      <c r="L22" s="1120">
        <f>+F22+J22-L23</f>
        <v>-344594480.58999991</v>
      </c>
      <c r="M22" s="1120" t="s">
        <v>1144</v>
      </c>
      <c r="N22" s="1120">
        <f>+D22-L22-L23</f>
        <v>-725017884.41000009</v>
      </c>
    </row>
    <row r="23" spans="1:14">
      <c r="A23" s="1121"/>
      <c r="B23" s="1122"/>
      <c r="D23" s="1119"/>
      <c r="E23" s="1119"/>
      <c r="H23" s="1129"/>
      <c r="I23" s="1258"/>
      <c r="J23" s="1120"/>
      <c r="K23" s="1120"/>
      <c r="L23" s="1120">
        <v>-150814921</v>
      </c>
      <c r="M23" s="1120" t="s">
        <v>1145</v>
      </c>
      <c r="N23" s="1120"/>
    </row>
    <row r="24" spans="1:14">
      <c r="A24" s="1121">
        <f>+A22+1</f>
        <v>7</v>
      </c>
      <c r="B24" s="1122" t="s">
        <v>1146</v>
      </c>
      <c r="D24" s="1119">
        <v>-286460142</v>
      </c>
      <c r="E24" s="1119" t="s">
        <v>1147</v>
      </c>
      <c r="N24" s="1120"/>
    </row>
    <row r="25" spans="1:14">
      <c r="A25" s="1121">
        <f>+A24+1</f>
        <v>8</v>
      </c>
      <c r="B25" s="1122"/>
      <c r="D25" s="1126">
        <v>-39451844</v>
      </c>
      <c r="E25" s="1119" t="s">
        <v>1148</v>
      </c>
      <c r="H25" s="1127"/>
      <c r="I25" s="1130"/>
      <c r="J25" s="1120"/>
      <c r="K25" s="1120"/>
      <c r="L25" s="1120"/>
      <c r="N25" s="1120"/>
    </row>
    <row r="26" spans="1:14">
      <c r="A26" s="1121">
        <f>+A25+1</f>
        <v>9</v>
      </c>
      <c r="B26" s="1131" t="s">
        <v>1149</v>
      </c>
      <c r="D26" s="1119">
        <f>+D24-D25</f>
        <v>-247008298</v>
      </c>
      <c r="E26" s="1119"/>
      <c r="F26" s="1120">
        <v>-89013588.250000015</v>
      </c>
      <c r="G26" s="1120"/>
      <c r="H26" s="1127">
        <f>+F26/D26</f>
        <v>0.36036679322408843</v>
      </c>
      <c r="I26" s="1130"/>
      <c r="J26" s="1120">
        <f>-J18-J22</f>
        <v>57704123.379999995</v>
      </c>
      <c r="K26" s="1120"/>
      <c r="L26" s="1120">
        <f>+F26+J26</f>
        <v>-31309464.87000002</v>
      </c>
      <c r="M26" s="1120" t="s">
        <v>1032</v>
      </c>
      <c r="N26" s="1120">
        <f>+D26-L26</f>
        <v>-215698833.13</v>
      </c>
    </row>
    <row r="27" spans="1:14">
      <c r="A27" s="1121"/>
      <c r="D27" s="1119"/>
      <c r="E27" s="1119"/>
      <c r="F27" s="1127"/>
      <c r="G27" s="1127"/>
      <c r="H27" s="1127"/>
      <c r="I27" s="1120"/>
      <c r="J27" s="1120"/>
      <c r="K27" s="1120"/>
      <c r="L27" s="1120"/>
      <c r="M27" s="1120"/>
      <c r="N27" s="1120"/>
    </row>
    <row r="28" spans="1:14">
      <c r="A28" s="1121">
        <f>+A26+1</f>
        <v>10</v>
      </c>
      <c r="B28" s="1108" t="s">
        <v>118</v>
      </c>
      <c r="D28" s="1132">
        <f>+D26+D22+D20+D18</f>
        <v>-1325748568</v>
      </c>
      <c r="E28" s="1119" t="s">
        <v>1150</v>
      </c>
      <c r="F28" s="1132">
        <f>SUM(F17:F26)</f>
        <v>-526718866.45999992</v>
      </c>
      <c r="G28" s="1133"/>
      <c r="J28" s="1132">
        <f>SUM(J17:J26)</f>
        <v>0</v>
      </c>
      <c r="K28" s="1120"/>
      <c r="L28" s="1132">
        <f>SUM(L17:L26)</f>
        <v>-526718866.45999992</v>
      </c>
      <c r="M28" s="1120"/>
      <c r="N28" s="1132">
        <f>SUM(N17:N26)</f>
        <v>-799029701.54000008</v>
      </c>
    </row>
    <row r="29" spans="1:14">
      <c r="A29" s="1121"/>
      <c r="D29" s="1119"/>
      <c r="E29" s="1119"/>
      <c r="F29" s="1127"/>
      <c r="G29" s="1127"/>
      <c r="H29" s="1127"/>
      <c r="I29" s="1120"/>
      <c r="J29" s="1120"/>
      <c r="K29" s="1120"/>
      <c r="L29" s="1120"/>
      <c r="M29" s="1120"/>
      <c r="N29" s="1120"/>
    </row>
    <row r="30" spans="1:14">
      <c r="A30" s="1121"/>
      <c r="D30" s="1119"/>
      <c r="E30" s="1119"/>
      <c r="F30" s="1127"/>
      <c r="G30" s="1127"/>
      <c r="H30" s="1127"/>
      <c r="I30" s="1120"/>
      <c r="J30" s="1120"/>
      <c r="K30" s="1120"/>
      <c r="L30" s="1120"/>
      <c r="M30" s="1120"/>
      <c r="N30" s="1120"/>
    </row>
    <row r="31" spans="1:14">
      <c r="A31" s="1134" t="s">
        <v>1151</v>
      </c>
      <c r="D31" s="1119"/>
      <c r="E31" s="1119"/>
      <c r="F31" s="1127"/>
      <c r="G31" s="1127"/>
      <c r="H31" s="1127"/>
      <c r="I31" s="1120"/>
      <c r="J31" s="1120"/>
      <c r="K31" s="1120"/>
      <c r="L31" s="1120"/>
      <c r="M31" s="1120"/>
      <c r="N31" s="1120"/>
    </row>
    <row r="32" spans="1:14">
      <c r="A32" s="1121"/>
      <c r="F32" s="1123"/>
      <c r="G32" s="1123"/>
      <c r="J32" s="1120"/>
      <c r="K32" s="1120"/>
      <c r="M32" s="1120"/>
      <c r="N32" s="1120"/>
    </row>
    <row r="33" spans="1:14">
      <c r="A33" s="1121">
        <f>+A28+1</f>
        <v>11</v>
      </c>
      <c r="B33" s="1122" t="s">
        <v>1139</v>
      </c>
      <c r="D33" s="1119">
        <v>24487832.219999999</v>
      </c>
      <c r="E33" s="1122" t="s">
        <v>630</v>
      </c>
      <c r="F33" s="1120">
        <v>9670559.8699999992</v>
      </c>
      <c r="G33" s="1120"/>
      <c r="H33" s="1127">
        <f>+F33/D33</f>
        <v>0.39491286052269431</v>
      </c>
      <c r="J33" s="1120">
        <f>-F33</f>
        <v>-9670559.8699999992</v>
      </c>
      <c r="K33" s="1120"/>
      <c r="L33" s="1120">
        <f>+F33+J33</f>
        <v>0</v>
      </c>
      <c r="M33" s="1120"/>
      <c r="N33" s="1120">
        <f>+D33-L33</f>
        <v>24487832.219999999</v>
      </c>
    </row>
    <row r="34" spans="1:14">
      <c r="A34" s="1121"/>
      <c r="B34" s="1122"/>
      <c r="D34" s="1119"/>
      <c r="E34" s="1119"/>
      <c r="F34" s="1127"/>
      <c r="G34" s="1127"/>
      <c r="H34" s="1127"/>
      <c r="J34" s="1120"/>
      <c r="K34" s="1120"/>
      <c r="L34" s="1120"/>
      <c r="N34" s="1120"/>
    </row>
    <row r="35" spans="1:14">
      <c r="A35" s="1121">
        <f>+A33+1</f>
        <v>12</v>
      </c>
      <c r="B35" s="1122" t="s">
        <v>1142</v>
      </c>
      <c r="D35" s="1135">
        <v>-391833315.39999998</v>
      </c>
      <c r="E35" s="1122" t="s">
        <v>630</v>
      </c>
      <c r="F35" s="1120">
        <v>-156979825.40000004</v>
      </c>
      <c r="G35" s="1120"/>
      <c r="H35" s="1127">
        <f>+F35/D35</f>
        <v>0.40062909209174419</v>
      </c>
      <c r="J35" s="1120">
        <v>-2558167.6</v>
      </c>
      <c r="K35" s="1120"/>
      <c r="L35" s="1120">
        <f>+F35+J35-L36</f>
        <v>-123296457.00000003</v>
      </c>
      <c r="M35" s="1120" t="s">
        <v>1144</v>
      </c>
      <c r="N35" s="1120">
        <f>+D35-L35-L36</f>
        <v>-232295322.39999998</v>
      </c>
    </row>
    <row r="36" spans="1:14">
      <c r="A36" s="1121"/>
      <c r="B36" s="1122"/>
      <c r="D36" s="1135"/>
      <c r="E36" s="1119"/>
      <c r="H36" s="1129"/>
      <c r="J36" s="1120"/>
      <c r="K36" s="1120"/>
      <c r="L36" s="1136">
        <v>-36241536</v>
      </c>
      <c r="M36" s="1120" t="s">
        <v>1145</v>
      </c>
      <c r="N36" s="1120"/>
    </row>
    <row r="37" spans="1:14">
      <c r="A37" s="1121"/>
      <c r="B37" s="1122"/>
      <c r="D37" s="1135"/>
      <c r="E37" s="1119"/>
      <c r="H37" s="1129"/>
      <c r="J37" s="1120"/>
      <c r="K37" s="1120"/>
      <c r="L37" s="1120"/>
      <c r="N37" s="1120"/>
    </row>
    <row r="38" spans="1:14">
      <c r="A38" s="1121">
        <f>+A35+1</f>
        <v>13</v>
      </c>
      <c r="B38" s="1122" t="s">
        <v>1149</v>
      </c>
      <c r="D38" s="1133">
        <v>-44333058.700000003</v>
      </c>
      <c r="E38" s="1122" t="s">
        <v>630</v>
      </c>
      <c r="F38" s="1120">
        <v>-17733221.219999999</v>
      </c>
      <c r="G38" s="1120"/>
      <c r="H38" s="1127">
        <f>+F38/D38</f>
        <v>0.39999994902224056</v>
      </c>
      <c r="J38" s="1120">
        <v>12228727</v>
      </c>
      <c r="K38" s="1120"/>
      <c r="L38" s="1120">
        <f>+F38+J38</f>
        <v>-5504494.2199999988</v>
      </c>
      <c r="M38" s="1120" t="s">
        <v>1032</v>
      </c>
      <c r="N38" s="1120">
        <f>+D38-L38</f>
        <v>-38828564.480000004</v>
      </c>
    </row>
    <row r="39" spans="1:14">
      <c r="A39" s="1121"/>
      <c r="D39" s="1119"/>
      <c r="E39" s="1119"/>
      <c r="F39" s="1127"/>
      <c r="G39" s="1127"/>
      <c r="H39" s="1127"/>
      <c r="J39" s="1120"/>
      <c r="K39" s="1120"/>
      <c r="L39" s="1120"/>
      <c r="N39" s="1120"/>
    </row>
    <row r="40" spans="1:14">
      <c r="A40" s="1121">
        <f>+A38+1</f>
        <v>14</v>
      </c>
      <c r="B40" s="1108" t="s">
        <v>118</v>
      </c>
      <c r="D40" s="1132">
        <f>SUM(D33:D38)</f>
        <v>-411678541.87999994</v>
      </c>
      <c r="E40" s="1108" t="s">
        <v>1152</v>
      </c>
      <c r="F40" s="1132">
        <f>SUM(F33:F38)</f>
        <v>-165042486.75000003</v>
      </c>
      <c r="G40" s="1133"/>
      <c r="J40" s="1132">
        <f>SUM(J33:J38)</f>
        <v>-0.4699999988079071</v>
      </c>
      <c r="K40" s="1120"/>
      <c r="L40" s="1132">
        <f>SUM(L33:L38)</f>
        <v>-165042487.22000003</v>
      </c>
      <c r="N40" s="1132">
        <f>SUM(N33:N38)</f>
        <v>-246636054.65999997</v>
      </c>
    </row>
    <row r="41" spans="1:14">
      <c r="A41" s="1121"/>
      <c r="N41" s="1120"/>
    </row>
    <row r="42" spans="1:14">
      <c r="A42" s="1254" t="s">
        <v>1153</v>
      </c>
      <c r="B42" s="1254"/>
      <c r="C42" s="1254"/>
      <c r="D42" s="1254"/>
      <c r="E42" s="1254"/>
      <c r="F42" s="1254"/>
      <c r="G42" s="1254"/>
      <c r="H42" s="1254"/>
      <c r="N42" s="1137"/>
    </row>
    <row r="43" spans="1:14">
      <c r="A43" s="1254"/>
      <c r="B43" s="1254"/>
      <c r="C43" s="1254"/>
      <c r="D43" s="1254"/>
      <c r="E43" s="1254"/>
      <c r="F43" s="1254"/>
      <c r="G43" s="1254"/>
      <c r="H43" s="1254"/>
      <c r="N43" s="1137"/>
    </row>
    <row r="44" spans="1:14">
      <c r="A44" s="1254"/>
      <c r="B44" s="1254"/>
      <c r="C44" s="1254"/>
      <c r="D44" s="1254"/>
      <c r="E44" s="1254"/>
      <c r="F44" s="1254"/>
      <c r="G44" s="1254"/>
      <c r="H44" s="1254"/>
      <c r="N44" s="1137"/>
    </row>
    <row r="45" spans="1:14">
      <c r="A45" s="1254"/>
      <c r="B45" s="1254"/>
      <c r="C45" s="1254"/>
      <c r="D45" s="1254"/>
      <c r="E45" s="1254"/>
      <c r="F45" s="1254"/>
      <c r="G45" s="1254"/>
      <c r="H45" s="1254"/>
    </row>
    <row r="46" spans="1:14">
      <c r="A46" s="1121"/>
    </row>
    <row r="47" spans="1:14">
      <c r="A47" s="1107" t="s">
        <v>1154</v>
      </c>
      <c r="B47" s="1254" t="s">
        <v>1155</v>
      </c>
      <c r="C47" s="1254"/>
      <c r="D47" s="1254"/>
      <c r="E47" s="1254"/>
      <c r="F47" s="1254"/>
      <c r="G47" s="1254"/>
      <c r="H47" s="1254"/>
    </row>
    <row r="48" spans="1:14">
      <c r="A48" s="1107"/>
      <c r="B48" s="1254"/>
      <c r="C48" s="1254"/>
      <c r="D48" s="1254"/>
      <c r="E48" s="1254"/>
      <c r="F48" s="1254"/>
      <c r="G48" s="1254"/>
      <c r="H48" s="1254"/>
    </row>
    <row r="49" spans="1:9">
      <c r="A49" s="1107"/>
      <c r="B49" s="1254"/>
      <c r="C49" s="1254"/>
      <c r="D49" s="1254"/>
      <c r="E49" s="1254"/>
      <c r="F49" s="1254"/>
      <c r="G49" s="1254"/>
      <c r="H49" s="1254"/>
    </row>
    <row r="51" spans="1:9">
      <c r="A51" s="1107" t="s">
        <v>1156</v>
      </c>
      <c r="B51" s="1254" t="s">
        <v>1157</v>
      </c>
      <c r="C51" s="1254"/>
      <c r="D51" s="1254"/>
      <c r="E51" s="1254"/>
      <c r="F51" s="1254"/>
      <c r="G51" s="1254"/>
      <c r="H51" s="1254"/>
    </row>
    <row r="52" spans="1:9">
      <c r="A52" s="1107"/>
      <c r="B52" s="1254"/>
      <c r="C52" s="1254"/>
      <c r="D52" s="1254"/>
      <c r="E52" s="1254"/>
      <c r="F52" s="1254"/>
      <c r="G52" s="1254"/>
      <c r="H52" s="1254"/>
    </row>
    <row r="54" spans="1:9">
      <c r="A54" s="1107" t="s">
        <v>1158</v>
      </c>
      <c r="B54" s="1254" t="s">
        <v>1159</v>
      </c>
      <c r="C54" s="1254"/>
      <c r="D54" s="1254"/>
      <c r="E54" s="1254"/>
      <c r="F54" s="1254"/>
      <c r="G54" s="1254"/>
      <c r="H54" s="1254"/>
      <c r="I54" s="1254"/>
    </row>
    <row r="55" spans="1:9">
      <c r="A55" s="1107"/>
      <c r="B55" s="1254"/>
      <c r="C55" s="1254"/>
      <c r="D55" s="1254"/>
      <c r="E55" s="1254"/>
      <c r="F55" s="1254"/>
      <c r="G55" s="1254"/>
      <c r="H55" s="1254"/>
      <c r="I55" s="1254"/>
    </row>
    <row r="57" spans="1:9">
      <c r="A57" s="1108" t="s">
        <v>1160</v>
      </c>
      <c r="B57" s="1255" t="s">
        <v>1161</v>
      </c>
      <c r="C57" s="1255"/>
      <c r="D57" s="1255"/>
      <c r="E57" s="1255"/>
      <c r="F57" s="1255"/>
    </row>
    <row r="58" spans="1:9">
      <c r="A58" s="1107"/>
      <c r="B58" s="1255"/>
      <c r="C58" s="1255"/>
      <c r="D58" s="1255"/>
      <c r="E58" s="1255"/>
      <c r="F58" s="1255"/>
    </row>
    <row r="60" spans="1:9">
      <c r="A60" s="1107"/>
    </row>
  </sheetData>
  <mergeCells count="8">
    <mergeCell ref="B54:I55"/>
    <mergeCell ref="B57:F58"/>
    <mergeCell ref="A7:N7"/>
    <mergeCell ref="I20:I21"/>
    <mergeCell ref="I22:I23"/>
    <mergeCell ref="A42:H45"/>
    <mergeCell ref="B47:H49"/>
    <mergeCell ref="B51:H52"/>
  </mergeCells>
  <pageMargins left="0.7" right="0.7" top="0.75" bottom="0.75" header="0.3" footer="0.3"/>
  <pageSetup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O96"/>
  <sheetViews>
    <sheetView tabSelected="1" view="pageBreakPreview" zoomScaleNormal="85" zoomScaleSheetLayoutView="100" workbookViewId="0">
      <selection activeCell="D11" sqref="D11"/>
    </sheetView>
  </sheetViews>
  <sheetFormatPr defaultColWidth="11.42578125" defaultRowHeight="12.75"/>
  <cols>
    <col min="1" max="1" width="8.140625" style="55" customWidth="1"/>
    <col min="2" max="2" width="16.5703125" style="54" bestFit="1" customWidth="1"/>
    <col min="3" max="3" width="44.140625" style="54" customWidth="1"/>
    <col min="4" max="4" width="29.5703125" style="54" customWidth="1"/>
    <col min="5" max="5" width="24.42578125" style="54" customWidth="1"/>
    <col min="6" max="6" width="1" style="54" customWidth="1"/>
    <col min="7" max="7" width="20.85546875" style="54" customWidth="1"/>
    <col min="8" max="8" width="1" style="54" customWidth="1"/>
    <col min="9" max="9" width="19.140625" style="54" customWidth="1"/>
    <col min="10" max="10" width="16.5703125" style="54" customWidth="1"/>
    <col min="11" max="11" width="15.42578125" style="54" customWidth="1"/>
    <col min="12" max="12" width="33.5703125" style="54" customWidth="1"/>
    <col min="13" max="14" width="13.42578125" style="54" customWidth="1"/>
    <col min="15" max="15" width="13.5703125" style="54" customWidth="1"/>
    <col min="16" max="16384" width="11.42578125" style="54"/>
  </cols>
  <sheetData>
    <row r="1" spans="1:15" ht="15.75">
      <c r="A1" s="657" t="s">
        <v>114</v>
      </c>
    </row>
    <row r="2" spans="1:15" ht="15.75">
      <c r="A2" s="657" t="s">
        <v>114</v>
      </c>
    </row>
    <row r="3" spans="1:15" ht="15">
      <c r="A3" s="1234" t="str">
        <f>+'WS B ADIT &amp; ITC'!A3:I3</f>
        <v>AEP East Companies</v>
      </c>
      <c r="B3" s="1234"/>
      <c r="C3" s="1234"/>
      <c r="D3" s="1234"/>
      <c r="E3" s="1234"/>
      <c r="F3" s="1234"/>
      <c r="G3" s="1234"/>
      <c r="H3" s="1234"/>
      <c r="I3" s="1234"/>
      <c r="J3" s="1234"/>
      <c r="K3" s="1234"/>
      <c r="L3" s="1234"/>
      <c r="M3" s="28"/>
      <c r="N3" s="28"/>
      <c r="O3" s="28"/>
    </row>
    <row r="4" spans="1:15" ht="15">
      <c r="A4" s="1235" t="str">
        <f>"Cost of Service Formula Rate Using Actual/Projected FF1 Balances"</f>
        <v>Cost of Service Formula Rate Using Actual/Projected FF1 Balances</v>
      </c>
      <c r="B4" s="1235"/>
      <c r="C4" s="1235"/>
      <c r="D4" s="1235"/>
      <c r="E4" s="1235"/>
      <c r="F4" s="1235"/>
      <c r="G4" s="1235"/>
      <c r="H4" s="1235"/>
      <c r="I4" s="1235"/>
      <c r="J4" s="1235"/>
      <c r="K4" s="1235"/>
      <c r="L4" s="1235"/>
      <c r="M4" s="75"/>
      <c r="N4" s="75"/>
      <c r="O4" s="75"/>
    </row>
    <row r="5" spans="1:15" ht="15">
      <c r="A5" s="1235" t="s">
        <v>495</v>
      </c>
      <c r="B5" s="1235"/>
      <c r="C5" s="1235"/>
      <c r="D5" s="1235"/>
      <c r="E5" s="1235"/>
      <c r="F5" s="1235"/>
      <c r="G5" s="1235"/>
      <c r="H5" s="1235"/>
      <c r="I5" s="1235"/>
      <c r="J5" s="1235"/>
      <c r="K5" s="1235"/>
      <c r="L5" s="1235"/>
      <c r="M5" s="74"/>
      <c r="N5" s="74"/>
      <c r="O5" s="74"/>
    </row>
    <row r="6" spans="1:15" ht="15">
      <c r="A6" s="1243" t="str">
        <f>TCOS!F9</f>
        <v>Ohio Power Company</v>
      </c>
      <c r="B6" s="1243"/>
      <c r="C6" s="1243"/>
      <c r="D6" s="1243"/>
      <c r="E6" s="1243"/>
      <c r="F6" s="1243"/>
      <c r="G6" s="1243"/>
      <c r="H6" s="1243"/>
      <c r="I6" s="1243"/>
      <c r="J6" s="1243"/>
      <c r="K6" s="1243"/>
      <c r="L6" s="1243"/>
      <c r="M6" s="3"/>
      <c r="N6" s="3"/>
      <c r="O6" s="3"/>
    </row>
    <row r="7" spans="1:15" ht="15">
      <c r="A7" s="3"/>
      <c r="B7" s="3"/>
      <c r="C7" s="3"/>
      <c r="D7" s="3"/>
      <c r="E7" s="3"/>
      <c r="F7" s="3"/>
      <c r="G7" s="3"/>
      <c r="H7"/>
    </row>
    <row r="8" spans="1:15" ht="12.75" customHeight="1">
      <c r="A8" s="63"/>
      <c r="B8" s="63" t="s">
        <v>162</v>
      </c>
      <c r="C8" s="63" t="s">
        <v>163</v>
      </c>
      <c r="D8" s="63" t="s">
        <v>4</v>
      </c>
      <c r="E8" s="63" t="s">
        <v>165</v>
      </c>
      <c r="F8" s="63"/>
      <c r="G8" s="63" t="s">
        <v>84</v>
      </c>
      <c r="H8" s="63"/>
      <c r="I8" s="63" t="s">
        <v>85</v>
      </c>
      <c r="J8" s="63" t="s">
        <v>86</v>
      </c>
      <c r="K8" s="63" t="s">
        <v>91</v>
      </c>
      <c r="L8" s="63" t="s">
        <v>500</v>
      </c>
      <c r="M8" s="63"/>
      <c r="N8" s="63"/>
      <c r="O8" s="63"/>
    </row>
    <row r="9" spans="1:15">
      <c r="A9" s="53"/>
    </row>
    <row r="10" spans="1:15" ht="18">
      <c r="A10" s="57"/>
      <c r="B10" s="1259" t="s">
        <v>207</v>
      </c>
      <c r="C10" s="1259"/>
      <c r="D10" s="1259"/>
      <c r="E10" s="1259"/>
      <c r="F10" s="1259"/>
      <c r="G10" s="1259"/>
      <c r="H10" s="1259"/>
      <c r="I10" s="1259"/>
      <c r="J10" s="1259"/>
      <c r="K10" s="1259"/>
    </row>
    <row r="11" spans="1:15">
      <c r="A11" s="57"/>
      <c r="I11"/>
      <c r="J11"/>
    </row>
    <row r="12" spans="1:15" ht="12.75" customHeight="1">
      <c r="A12" s="9" t="s">
        <v>169</v>
      </c>
      <c r="B12" s="57"/>
      <c r="C12" s="62"/>
      <c r="D12" s="154"/>
      <c r="E12" s="1241" t="str">
        <f>"Balance @ December 31, "&amp;TCOS!L4&amp;""</f>
        <v>Balance @ December 31, 2025</v>
      </c>
      <c r="F12" s="154"/>
      <c r="G12" s="1241" t="str">
        <f>"Balance @ December 31, "&amp;TCOS!L4-1&amp;""</f>
        <v>Balance @ December 31, 2024</v>
      </c>
      <c r="H12" s="198"/>
      <c r="I12" s="1244" t="str">
        <f>"Average Balance for "&amp;TCOS!L4&amp;""</f>
        <v>Average Balance for 2025</v>
      </c>
      <c r="J12" s="4"/>
      <c r="L12" s="63"/>
    </row>
    <row r="13" spans="1:15">
      <c r="A13" s="9" t="s">
        <v>106</v>
      </c>
      <c r="B13" s="55"/>
      <c r="C13" s="57"/>
      <c r="D13" s="155" t="s">
        <v>206</v>
      </c>
      <c r="E13" s="1242"/>
      <c r="F13" s="156"/>
      <c r="G13" s="1242"/>
      <c r="H13" s="157"/>
      <c r="I13" s="1242"/>
      <c r="J13" s="4"/>
      <c r="K13" s="64"/>
      <c r="L13" s="65"/>
      <c r="M13" s="58"/>
      <c r="N13" s="58"/>
    </row>
    <row r="14" spans="1:15">
      <c r="B14" s="55"/>
      <c r="C14" s="57"/>
      <c r="D14" s="61"/>
      <c r="E14" s="56"/>
      <c r="F14" s="56"/>
      <c r="G14" s="173"/>
      <c r="H14" s="60"/>
      <c r="J14"/>
      <c r="K14" s="64"/>
      <c r="L14" s="65"/>
      <c r="M14" s="58"/>
      <c r="N14" s="58"/>
    </row>
    <row r="15" spans="1:15">
      <c r="A15" s="55">
        <v>1</v>
      </c>
      <c r="B15" s="55"/>
      <c r="D15" s="49"/>
      <c r="E15" s="15"/>
      <c r="F15" s="15"/>
      <c r="G15" s="15"/>
      <c r="H15" s="15"/>
      <c r="I15" s="15"/>
      <c r="K15" s="15"/>
      <c r="L15" s="15"/>
      <c r="M15" s="58"/>
      <c r="N15" s="58"/>
    </row>
    <row r="16" spans="1:15">
      <c r="B16" s="55"/>
      <c r="C16" s="49"/>
      <c r="D16" s="49"/>
      <c r="E16" s="15"/>
      <c r="F16" s="15"/>
      <c r="G16" s="15"/>
      <c r="H16" s="15"/>
      <c r="I16" s="15"/>
      <c r="K16" s="15"/>
      <c r="L16" s="15"/>
      <c r="M16" s="58"/>
      <c r="N16" s="58"/>
    </row>
    <row r="17" spans="1:14">
      <c r="A17" s="55">
        <f>+A15+1</f>
        <v>2</v>
      </c>
      <c r="B17" s="55"/>
      <c r="C17" s="49" t="s">
        <v>526</v>
      </c>
      <c r="D17" s="59" t="s">
        <v>435</v>
      </c>
      <c r="E17" s="618">
        <v>8087776</v>
      </c>
      <c r="F17" s="15"/>
      <c r="G17" s="618">
        <v>5694942</v>
      </c>
      <c r="H17" s="15"/>
      <c r="I17" s="104">
        <f>IF(G17="",0,(E17+G17)/2)</f>
        <v>6891359</v>
      </c>
      <c r="J17"/>
      <c r="K17" s="104"/>
      <c r="L17" s="15"/>
      <c r="M17" s="58"/>
      <c r="N17" s="58"/>
    </row>
    <row r="18" spans="1:14">
      <c r="B18" s="55"/>
      <c r="C18" s="49"/>
      <c r="D18"/>
      <c r="E18"/>
      <c r="F18"/>
      <c r="G18"/>
      <c r="H18"/>
      <c r="I18" s="4"/>
      <c r="J18"/>
      <c r="K18"/>
      <c r="L18" s="15"/>
      <c r="M18" s="58"/>
      <c r="N18" s="58"/>
    </row>
    <row r="19" spans="1:14">
      <c r="A19" s="1166" t="s">
        <v>1047</v>
      </c>
      <c r="B19" s="1166"/>
      <c r="C19" s="1167" t="s">
        <v>1314</v>
      </c>
      <c r="D19" s="1168" t="s">
        <v>1315</v>
      </c>
      <c r="E19" s="1169"/>
      <c r="F19" s="111"/>
      <c r="G19" s="1169"/>
      <c r="H19" s="197"/>
      <c r="I19" s="1170">
        <f>IF(G19="",0,(E19+G19)/2)</f>
        <v>0</v>
      </c>
      <c r="J19"/>
      <c r="K19"/>
      <c r="L19" s="15"/>
      <c r="M19" s="58"/>
      <c r="N19" s="58"/>
    </row>
    <row r="20" spans="1:14">
      <c r="B20" s="55"/>
      <c r="C20" s="49"/>
      <c r="D20"/>
      <c r="E20"/>
      <c r="F20"/>
      <c r="G20"/>
      <c r="H20"/>
      <c r="I20" s="4"/>
      <c r="J20"/>
      <c r="K20"/>
      <c r="L20" s="15"/>
      <c r="M20" s="58"/>
      <c r="N20" s="58"/>
    </row>
    <row r="21" spans="1:14">
      <c r="A21" s="55">
        <f>+A17+1</f>
        <v>3</v>
      </c>
      <c r="B21" s="55"/>
      <c r="C21" s="49" t="s">
        <v>528</v>
      </c>
      <c r="D21" s="59" t="s">
        <v>436</v>
      </c>
      <c r="E21" s="618">
        <v>101859</v>
      </c>
      <c r="F21" s="15"/>
      <c r="G21" s="618">
        <v>3172866</v>
      </c>
      <c r="H21" s="60"/>
      <c r="I21" s="104">
        <f>IF(G21="",0,(E21+G21)/2)</f>
        <v>1637362.5</v>
      </c>
      <c r="J21"/>
      <c r="K21" s="64"/>
      <c r="L21" s="65"/>
      <c r="M21" s="58"/>
      <c r="N21" s="58"/>
    </row>
    <row r="22" spans="1:14">
      <c r="B22" s="55"/>
      <c r="C22" s="49"/>
      <c r="D22" s="59"/>
      <c r="E22"/>
      <c r="F22"/>
      <c r="G22"/>
      <c r="H22"/>
      <c r="I22"/>
      <c r="J22"/>
      <c r="K22" s="64"/>
      <c r="L22" s="65"/>
      <c r="M22" s="58"/>
      <c r="N22" s="58"/>
    </row>
    <row r="23" spans="1:14">
      <c r="A23" s="55">
        <f>+A21+1</f>
        <v>4</v>
      </c>
      <c r="B23" s="55"/>
      <c r="C23" s="49" t="s">
        <v>753</v>
      </c>
      <c r="D23" s="59" t="s">
        <v>437</v>
      </c>
      <c r="E23" s="618"/>
      <c r="F23" s="15"/>
      <c r="G23" s="618"/>
      <c r="H23" s="60"/>
      <c r="I23" s="104">
        <f>IF(G23="",0,(E23+G23)/2)</f>
        <v>0</v>
      </c>
      <c r="J23"/>
      <c r="K23" s="64"/>
      <c r="L23" s="65"/>
      <c r="M23" s="58"/>
      <c r="N23" s="58"/>
    </row>
    <row r="24" spans="1:14">
      <c r="B24" s="55"/>
      <c r="C24" s="57"/>
      <c r="D24" s="61"/>
      <c r="E24" s="56"/>
      <c r="F24" s="56"/>
      <c r="H24" s="60"/>
      <c r="J24"/>
      <c r="K24" s="64"/>
      <c r="L24" s="65"/>
      <c r="M24" s="58"/>
      <c r="N24" s="58"/>
    </row>
    <row r="25" spans="1:14">
      <c r="A25" s="145"/>
      <c r="B25" s="145"/>
      <c r="C25" s="146"/>
      <c r="D25" s="147"/>
      <c r="E25" s="148"/>
      <c r="F25" s="148"/>
      <c r="G25" s="149"/>
      <c r="H25" s="150"/>
      <c r="I25" s="149"/>
      <c r="J25" s="151"/>
      <c r="K25" s="152"/>
      <c r="L25" s="153"/>
      <c r="M25" s="58"/>
      <c r="N25" s="58"/>
    </row>
    <row r="26" spans="1:14" ht="18">
      <c r="B26" s="1259" t="s">
        <v>752</v>
      </c>
      <c r="C26" s="1259"/>
      <c r="D26" s="1259"/>
      <c r="E26" s="1259"/>
      <c r="F26" s="1259"/>
      <c r="G26" s="1259"/>
      <c r="H26" s="1259"/>
      <c r="I26" s="1259"/>
      <c r="J26" s="1259"/>
      <c r="K26" s="1259"/>
      <c r="L26" s="65"/>
      <c r="M26" s="58"/>
      <c r="N26" s="58"/>
    </row>
    <row r="27" spans="1:14" ht="12.75" customHeight="1">
      <c r="B27" s="115"/>
      <c r="C27" s="57"/>
      <c r="D27" s="15"/>
      <c r="E27" s="7"/>
      <c r="G27" s="7" t="s">
        <v>87</v>
      </c>
      <c r="I27" s="5" t="s">
        <v>115</v>
      </c>
      <c r="J27" s="5" t="s">
        <v>115</v>
      </c>
      <c r="K27" s="5" t="s">
        <v>179</v>
      </c>
      <c r="L27" s="65"/>
      <c r="M27" s="58"/>
      <c r="N27" s="58"/>
    </row>
    <row r="28" spans="1:14" ht="12.75" customHeight="1">
      <c r="B28" s="115"/>
      <c r="C28" s="57"/>
      <c r="D28" s="113" t="s">
        <v>501</v>
      </c>
      <c r="E28" s="5" t="s">
        <v>530</v>
      </c>
      <c r="G28" s="5" t="s">
        <v>115</v>
      </c>
      <c r="I28" s="5" t="s">
        <v>523</v>
      </c>
      <c r="J28" s="5" t="s">
        <v>161</v>
      </c>
      <c r="K28" s="5" t="s">
        <v>180</v>
      </c>
      <c r="L28" s="65"/>
      <c r="M28" s="58"/>
      <c r="N28" s="58"/>
    </row>
    <row r="29" spans="1:14" ht="12.75" customHeight="1">
      <c r="A29" s="55">
        <f>+A23+1</f>
        <v>5</v>
      </c>
      <c r="B29" s="115"/>
      <c r="C29" s="57"/>
      <c r="D29" s="9" t="s">
        <v>88</v>
      </c>
      <c r="E29" s="9" t="s">
        <v>502</v>
      </c>
      <c r="G29" s="9" t="s">
        <v>524</v>
      </c>
      <c r="I29" s="9" t="s">
        <v>524</v>
      </c>
      <c r="J29" s="9" t="s">
        <v>524</v>
      </c>
      <c r="K29" s="9" t="s">
        <v>525</v>
      </c>
      <c r="L29" s="65"/>
      <c r="M29" s="58"/>
      <c r="N29" s="58"/>
    </row>
    <row r="30" spans="1:14">
      <c r="B30" s="55"/>
      <c r="C30" s="57"/>
      <c r="D30" s="61"/>
      <c r="E30" s="56"/>
      <c r="F30" s="56"/>
      <c r="H30" s="60"/>
      <c r="J30"/>
      <c r="K30" s="174"/>
      <c r="L30" s="65"/>
      <c r="M30" s="58"/>
      <c r="N30" s="58"/>
    </row>
    <row r="31" spans="1:14">
      <c r="A31" s="55">
        <f>+A29+1</f>
        <v>6</v>
      </c>
      <c r="B31" s="55"/>
      <c r="C31" s="54" t="str">
        <f>"Totals as of December 31, "&amp;TCOS!L4&amp;""</f>
        <v>Totals as of December 31, 2025</v>
      </c>
      <c r="D31" s="116">
        <f>ROUND(D62,0)</f>
        <v>9658954</v>
      </c>
      <c r="E31" s="181">
        <f>ROUND(E62,0)</f>
        <v>-289966181</v>
      </c>
      <c r="F31" s="117"/>
      <c r="G31" s="116">
        <f>ROUND(G62,0)</f>
        <v>0</v>
      </c>
      <c r="H31" s="60"/>
      <c r="I31" s="116">
        <f>ROUND(I62,0)</f>
        <v>5976369</v>
      </c>
      <c r="J31" s="118">
        <f>+J62</f>
        <v>293648766.37</v>
      </c>
      <c r="K31" s="116">
        <f>ROUND(K62,0)</f>
        <v>299625135</v>
      </c>
      <c r="L31" s="65"/>
      <c r="M31" s="58"/>
      <c r="N31" s="58"/>
    </row>
    <row r="32" spans="1:14">
      <c r="A32" s="55">
        <f>+A31+1</f>
        <v>7</v>
      </c>
      <c r="B32" s="55"/>
      <c r="C32" s="54" t="str">
        <f>"Totals as of December 31, "&amp;TCOS!L4-1&amp;""</f>
        <v>Totals as of December 31, 2024</v>
      </c>
      <c r="D32" s="121">
        <f>IF(D92="","",D92)</f>
        <v>11117287.984999996</v>
      </c>
      <c r="E32" s="182">
        <f>IF(E92="","",E92)</f>
        <v>-280647210.72000003</v>
      </c>
      <c r="F32" s="56"/>
      <c r="G32" s="121" t="str">
        <f>IF(G92="","",G92)</f>
        <v/>
      </c>
      <c r="H32" s="60"/>
      <c r="I32" s="121">
        <f>IF(I92="","",I92)</f>
        <v>5866664.3650000002</v>
      </c>
      <c r="J32" s="121">
        <f>IF(J92="","",J92)</f>
        <v>285897834.34000003</v>
      </c>
      <c r="K32" s="121">
        <f>IF(K92="","",K92)</f>
        <v>291764498.70499998</v>
      </c>
      <c r="L32" s="65"/>
      <c r="M32" s="58"/>
      <c r="N32" s="58"/>
    </row>
    <row r="33" spans="1:14" ht="13.5" thickBot="1">
      <c r="A33" s="55">
        <f>+A32+1</f>
        <v>8</v>
      </c>
      <c r="B33" s="55"/>
      <c r="C33" s="62" t="s">
        <v>213</v>
      </c>
      <c r="D33" s="122">
        <f>IF(D32="",0,(D31+D32)/2)</f>
        <v>10388120.992499998</v>
      </c>
      <c r="E33" s="122">
        <f>IF(E32="",0,(E31+E32)/2)</f>
        <v>-285306695.86000001</v>
      </c>
      <c r="F33" s="123"/>
      <c r="G33" s="122">
        <f>IF(G32="",0,(G31+G32)/2)</f>
        <v>0</v>
      </c>
      <c r="H33" s="72"/>
      <c r="I33" s="122">
        <f>IF(I32="",0,(I31+I32)/2)</f>
        <v>5921516.6825000001</v>
      </c>
      <c r="J33" s="122">
        <f>IF(J32="",0,(J31+J32)/2)</f>
        <v>289773300.35500002</v>
      </c>
      <c r="K33" s="122">
        <f>IF(K32="",0,(K31+K32)/2)</f>
        <v>295694816.85249996</v>
      </c>
      <c r="L33" s="65"/>
      <c r="M33" s="58"/>
      <c r="N33" s="58"/>
    </row>
    <row r="34" spans="1:14" ht="13.5" thickTop="1">
      <c r="B34" s="55"/>
      <c r="D34" s="61"/>
      <c r="E34" s="56"/>
      <c r="F34" s="56"/>
      <c r="H34" s="60"/>
      <c r="J34"/>
      <c r="K34" s="64"/>
      <c r="L34" s="65"/>
      <c r="M34" s="58"/>
      <c r="N34" s="58"/>
    </row>
    <row r="35" spans="1:14">
      <c r="A35" s="54"/>
      <c r="J35"/>
      <c r="K35" s="64"/>
      <c r="L35" s="65"/>
      <c r="M35" s="58"/>
      <c r="N35" s="58"/>
    </row>
    <row r="36" spans="1:14" ht="18">
      <c r="B36" s="1260" t="str">
        <f>"Prepayments Account 165 - Balance @ 12/31/"&amp;D38&amp;""</f>
        <v>Prepayments Account 165 - Balance @ 12/31/2025</v>
      </c>
      <c r="C36" s="1261"/>
      <c r="D36" s="1261"/>
      <c r="E36" s="1261"/>
      <c r="F36" s="1261"/>
      <c r="G36" s="1261"/>
      <c r="H36" s="1261"/>
      <c r="I36" s="1261"/>
      <c r="J36" s="1261"/>
      <c r="K36" s="64"/>
      <c r="L36" s="65"/>
      <c r="M36" s="58"/>
      <c r="N36" s="58"/>
    </row>
    <row r="37" spans="1:14">
      <c r="B37" s="109"/>
      <c r="C37" s="111"/>
      <c r="D37" s="15"/>
      <c r="E37" s="7"/>
      <c r="G37" s="7" t="s">
        <v>87</v>
      </c>
      <c r="I37" s="5" t="s">
        <v>115</v>
      </c>
      <c r="J37" s="5" t="s">
        <v>115</v>
      </c>
      <c r="K37" s="5" t="s">
        <v>179</v>
      </c>
      <c r="L37"/>
      <c r="M37" s="58"/>
      <c r="N37" s="58"/>
    </row>
    <row r="38" spans="1:14">
      <c r="B38" s="109"/>
      <c r="C38" s="112"/>
      <c r="D38" s="113" t="str">
        <f>""&amp;TCOS!L4</f>
        <v>2025</v>
      </c>
      <c r="E38" s="5" t="s">
        <v>530</v>
      </c>
      <c r="G38" s="5" t="s">
        <v>115</v>
      </c>
      <c r="I38" s="5" t="s">
        <v>523</v>
      </c>
      <c r="J38" s="5" t="s">
        <v>161</v>
      </c>
      <c r="K38" s="5" t="s">
        <v>180</v>
      </c>
      <c r="L38"/>
      <c r="M38" s="58"/>
      <c r="N38" s="58"/>
    </row>
    <row r="39" spans="1:14">
      <c r="A39" s="55">
        <f>+A33+1</f>
        <v>9</v>
      </c>
      <c r="B39" s="9" t="s">
        <v>90</v>
      </c>
      <c r="C39" s="9" t="s">
        <v>167</v>
      </c>
      <c r="D39" s="9" t="s">
        <v>88</v>
      </c>
      <c r="E39" s="9" t="s">
        <v>502</v>
      </c>
      <c r="G39" s="9" t="s">
        <v>524</v>
      </c>
      <c r="I39" s="9" t="s">
        <v>524</v>
      </c>
      <c r="J39" s="9" t="s">
        <v>524</v>
      </c>
      <c r="K39" s="9" t="s">
        <v>525</v>
      </c>
      <c r="L39" s="9" t="s">
        <v>39</v>
      </c>
      <c r="M39" s="58"/>
      <c r="N39" s="58"/>
    </row>
    <row r="40" spans="1:14">
      <c r="B40" s="109"/>
      <c r="C40" s="111"/>
      <c r="D40" s="111"/>
      <c r="E40" s="111"/>
      <c r="G40" s="111"/>
      <c r="I40" s="111"/>
      <c r="J40" s="111"/>
      <c r="K40" s="174"/>
      <c r="L40"/>
      <c r="M40" s="58"/>
      <c r="N40" s="58"/>
    </row>
    <row r="41" spans="1:14" ht="14.25">
      <c r="A41" s="55">
        <f>+A39+1</f>
        <v>10</v>
      </c>
      <c r="B41" s="619" t="s">
        <v>859</v>
      </c>
      <c r="C41" s="620" t="s">
        <v>860</v>
      </c>
      <c r="D41" s="621">
        <v>3000512.98</v>
      </c>
      <c r="E41" s="78">
        <f>+D41-K41</f>
        <v>0</v>
      </c>
      <c r="G41" s="82"/>
      <c r="I41" s="82">
        <f>D41</f>
        <v>3000512.98</v>
      </c>
      <c r="J41" s="82"/>
      <c r="K41" s="82">
        <f t="shared" ref="K41:K48" si="0">+G41+I41+J41</f>
        <v>3000512.98</v>
      </c>
      <c r="L41" t="s">
        <v>531</v>
      </c>
      <c r="M41" s="58"/>
      <c r="N41" s="58"/>
    </row>
    <row r="42" spans="1:14" ht="14.25">
      <c r="A42" s="55">
        <f t="shared" ref="A42:A54" si="1">+A41+1</f>
        <v>11</v>
      </c>
      <c r="B42" s="619" t="s">
        <v>861</v>
      </c>
      <c r="C42" s="620" t="s">
        <v>862</v>
      </c>
      <c r="D42" s="621">
        <v>0</v>
      </c>
      <c r="E42" s="78">
        <f t="shared" ref="E42:E60" si="2">+D42-K42</f>
        <v>0</v>
      </c>
      <c r="G42" s="82"/>
      <c r="I42" s="82"/>
      <c r="J42" s="82"/>
      <c r="K42" s="82">
        <f t="shared" si="0"/>
        <v>0</v>
      </c>
      <c r="L42" t="s">
        <v>114</v>
      </c>
      <c r="M42" s="58"/>
      <c r="N42" s="58"/>
    </row>
    <row r="43" spans="1:14" ht="14.25">
      <c r="A43" s="55">
        <f t="shared" si="1"/>
        <v>12</v>
      </c>
      <c r="B43" s="619" t="s">
        <v>863</v>
      </c>
      <c r="C43" s="620" t="s">
        <v>864</v>
      </c>
      <c r="D43" s="621">
        <v>0</v>
      </c>
      <c r="E43" s="78">
        <f t="shared" si="2"/>
        <v>0</v>
      </c>
      <c r="G43" s="82"/>
      <c r="I43" s="82"/>
      <c r="J43" s="82"/>
      <c r="K43" s="82">
        <f t="shared" si="0"/>
        <v>0</v>
      </c>
      <c r="L43"/>
      <c r="M43" s="58"/>
      <c r="N43" s="58"/>
    </row>
    <row r="44" spans="1:14" ht="14.25">
      <c r="A44" s="55">
        <f t="shared" si="1"/>
        <v>13</v>
      </c>
      <c r="B44" s="619" t="s">
        <v>865</v>
      </c>
      <c r="C44" s="620" t="s">
        <v>866</v>
      </c>
      <c r="D44" s="621">
        <v>0</v>
      </c>
      <c r="E44" s="78">
        <f t="shared" si="2"/>
        <v>0</v>
      </c>
      <c r="G44" s="82"/>
      <c r="I44" s="82"/>
      <c r="J44" s="82"/>
      <c r="K44" s="82">
        <f t="shared" si="0"/>
        <v>0</v>
      </c>
      <c r="L44"/>
      <c r="M44" s="58"/>
      <c r="N44" s="58"/>
    </row>
    <row r="45" spans="1:14" ht="14.25">
      <c r="A45" s="55">
        <f t="shared" si="1"/>
        <v>14</v>
      </c>
      <c r="B45" s="619" t="s">
        <v>867</v>
      </c>
      <c r="C45" s="620" t="s">
        <v>868</v>
      </c>
      <c r="D45" s="621">
        <v>869881.79</v>
      </c>
      <c r="E45" s="78">
        <f t="shared" si="2"/>
        <v>869881.79</v>
      </c>
      <c r="G45" s="106"/>
      <c r="I45" s="82">
        <v>0</v>
      </c>
      <c r="J45" s="106"/>
      <c r="K45" s="106">
        <f t="shared" si="0"/>
        <v>0</v>
      </c>
      <c r="L45" s="197" t="s">
        <v>438</v>
      </c>
      <c r="M45" s="58"/>
      <c r="N45" s="58"/>
    </row>
    <row r="46" spans="1:14" ht="14.25">
      <c r="A46" s="55">
        <f t="shared" si="1"/>
        <v>15</v>
      </c>
      <c r="B46" s="619" t="s">
        <v>869</v>
      </c>
      <c r="C46" s="620" t="s">
        <v>870</v>
      </c>
      <c r="D46" s="621">
        <v>2181169.16</v>
      </c>
      <c r="E46" s="78">
        <f t="shared" si="2"/>
        <v>2181169.16</v>
      </c>
      <c r="G46" s="82"/>
      <c r="I46" s="82"/>
      <c r="J46" s="82"/>
      <c r="K46" s="106">
        <f t="shared" si="0"/>
        <v>0</v>
      </c>
      <c r="L46" t="s">
        <v>594</v>
      </c>
      <c r="M46" s="58"/>
      <c r="N46" s="58"/>
    </row>
    <row r="47" spans="1:14" ht="14.25">
      <c r="A47" s="55">
        <f t="shared" si="1"/>
        <v>16</v>
      </c>
      <c r="B47" s="619" t="s">
        <v>871</v>
      </c>
      <c r="C47" s="620" t="s">
        <v>872</v>
      </c>
      <c r="D47" s="621">
        <v>170485000.63</v>
      </c>
      <c r="E47" s="78">
        <f t="shared" si="2"/>
        <v>0</v>
      </c>
      <c r="G47" s="82"/>
      <c r="I47" s="82"/>
      <c r="J47" s="82">
        <f>D47</f>
        <v>170485000.63</v>
      </c>
      <c r="K47" s="106">
        <f t="shared" si="0"/>
        <v>170485000.63</v>
      </c>
      <c r="L47" t="s">
        <v>892</v>
      </c>
      <c r="M47" s="58"/>
      <c r="N47" s="58"/>
    </row>
    <row r="48" spans="1:14" ht="14.25">
      <c r="A48" s="55">
        <f t="shared" si="1"/>
        <v>17</v>
      </c>
      <c r="B48" s="909">
        <v>165001225</v>
      </c>
      <c r="C48" s="620" t="s">
        <v>873</v>
      </c>
      <c r="D48" s="621">
        <v>303014</v>
      </c>
      <c r="E48" s="78">
        <f t="shared" si="2"/>
        <v>303014</v>
      </c>
      <c r="G48" s="82"/>
      <c r="I48" s="82"/>
      <c r="J48" s="82"/>
      <c r="K48" s="106">
        <f t="shared" si="0"/>
        <v>0</v>
      </c>
      <c r="L48" t="s">
        <v>893</v>
      </c>
      <c r="M48" s="58"/>
      <c r="N48" s="58"/>
    </row>
    <row r="49" spans="1:15" ht="14.25">
      <c r="A49" s="55">
        <f t="shared" si="1"/>
        <v>18</v>
      </c>
      <c r="B49" s="619" t="s">
        <v>874</v>
      </c>
      <c r="C49" s="620" t="s">
        <v>875</v>
      </c>
      <c r="D49" s="621">
        <v>0</v>
      </c>
      <c r="E49" s="78">
        <f t="shared" si="2"/>
        <v>0</v>
      </c>
      <c r="G49" s="106"/>
      <c r="I49" s="106"/>
      <c r="J49" s="106"/>
      <c r="K49" s="106">
        <f t="shared" ref="K49:K56" si="3">+G49+I49+J49</f>
        <v>0</v>
      </c>
      <c r="L49"/>
      <c r="M49" s="58"/>
      <c r="N49" s="58"/>
    </row>
    <row r="50" spans="1:15" ht="14.25">
      <c r="A50" s="55">
        <f t="shared" si="1"/>
        <v>19</v>
      </c>
      <c r="B50" s="619" t="s">
        <v>876</v>
      </c>
      <c r="C50" s="620" t="s">
        <v>877</v>
      </c>
      <c r="D50" s="621">
        <v>-170485000.63</v>
      </c>
      <c r="E50" s="78">
        <f t="shared" si="2"/>
        <v>-170485000.63</v>
      </c>
      <c r="G50" s="106"/>
      <c r="I50" s="106"/>
      <c r="J50" s="106"/>
      <c r="K50" s="106">
        <f t="shared" si="3"/>
        <v>0</v>
      </c>
      <c r="L50" t="s">
        <v>894</v>
      </c>
      <c r="M50" s="58"/>
      <c r="N50" s="58"/>
    </row>
    <row r="51" spans="1:15" ht="14.25">
      <c r="A51" s="55">
        <f t="shared" si="1"/>
        <v>20</v>
      </c>
      <c r="B51" s="619" t="s">
        <v>878</v>
      </c>
      <c r="C51" s="620" t="s">
        <v>879</v>
      </c>
      <c r="D51" s="621">
        <v>0</v>
      </c>
      <c r="E51" s="78">
        <f t="shared" si="2"/>
        <v>0</v>
      </c>
      <c r="G51" s="106"/>
      <c r="I51" s="106"/>
      <c r="J51" s="106"/>
      <c r="K51" s="106">
        <f t="shared" si="3"/>
        <v>0</v>
      </c>
      <c r="L51" s="4"/>
      <c r="M51" s="58"/>
      <c r="N51" s="58"/>
    </row>
    <row r="52" spans="1:15" ht="14.25">
      <c r="A52" s="55">
        <f t="shared" si="1"/>
        <v>21</v>
      </c>
      <c r="B52" s="622">
        <v>1650017</v>
      </c>
      <c r="C52" s="620" t="s">
        <v>880</v>
      </c>
      <c r="D52" s="621">
        <v>0</v>
      </c>
      <c r="E52" s="78">
        <f t="shared" si="2"/>
        <v>0</v>
      </c>
      <c r="G52" s="106"/>
      <c r="I52" s="106"/>
      <c r="J52" s="106"/>
      <c r="K52" s="106">
        <f t="shared" si="3"/>
        <v>0</v>
      </c>
      <c r="L52" s="4"/>
      <c r="M52" s="58"/>
      <c r="N52" s="58"/>
    </row>
    <row r="53" spans="1:15" ht="14.25">
      <c r="A53" s="55">
        <f t="shared" si="1"/>
        <v>22</v>
      </c>
      <c r="B53" s="909" t="s">
        <v>881</v>
      </c>
      <c r="C53" s="620" t="s">
        <v>882</v>
      </c>
      <c r="D53" s="621">
        <v>0</v>
      </c>
      <c r="E53" s="78">
        <f t="shared" si="2"/>
        <v>0</v>
      </c>
      <c r="G53" s="106"/>
      <c r="I53" s="106"/>
      <c r="J53" s="106"/>
      <c r="K53" s="106">
        <f t="shared" si="3"/>
        <v>0</v>
      </c>
      <c r="L53" s="4"/>
      <c r="M53" s="58"/>
      <c r="N53" s="58"/>
    </row>
    <row r="54" spans="1:15" ht="14.25">
      <c r="A54" s="55">
        <f t="shared" si="1"/>
        <v>23</v>
      </c>
      <c r="B54" s="909" t="s">
        <v>883</v>
      </c>
      <c r="C54" s="620" t="s">
        <v>884</v>
      </c>
      <c r="D54" s="621">
        <v>0</v>
      </c>
      <c r="E54" s="78">
        <f t="shared" si="2"/>
        <v>0</v>
      </c>
      <c r="G54" s="106"/>
      <c r="I54" s="106"/>
      <c r="J54" s="106"/>
      <c r="K54" s="106">
        <f t="shared" si="3"/>
        <v>0</v>
      </c>
      <c r="L54" s="4"/>
      <c r="M54" s="58"/>
      <c r="N54" s="58"/>
    </row>
    <row r="55" spans="1:15" ht="14.25">
      <c r="A55" s="55">
        <f t="shared" ref="A55:A61" si="4">A54+1</f>
        <v>24</v>
      </c>
      <c r="B55" s="622">
        <v>1650021</v>
      </c>
      <c r="C55" s="620" t="s">
        <v>885</v>
      </c>
      <c r="D55" s="621">
        <v>2975855.7749999999</v>
      </c>
      <c r="E55" s="78">
        <f t="shared" si="2"/>
        <v>0</v>
      </c>
      <c r="G55" s="106"/>
      <c r="I55" s="82">
        <f>D55</f>
        <v>2975855.7749999999</v>
      </c>
      <c r="J55" s="106"/>
      <c r="K55" s="106">
        <f t="shared" si="3"/>
        <v>2975855.7749999999</v>
      </c>
      <c r="L55" s="4" t="s">
        <v>895</v>
      </c>
      <c r="M55" s="58"/>
      <c r="N55" s="58"/>
    </row>
    <row r="56" spans="1:15" ht="14.25">
      <c r="A56" s="55">
        <f t="shared" si="4"/>
        <v>25</v>
      </c>
      <c r="B56" s="909" t="s">
        <v>886</v>
      </c>
      <c r="C56" s="620" t="s">
        <v>887</v>
      </c>
      <c r="D56" s="621">
        <v>34985.629999999997</v>
      </c>
      <c r="E56" s="78">
        <f t="shared" si="2"/>
        <v>34985.629999999997</v>
      </c>
      <c r="G56" s="82"/>
      <c r="I56" s="82"/>
      <c r="J56" s="82"/>
      <c r="K56" s="106">
        <f t="shared" si="3"/>
        <v>0</v>
      </c>
      <c r="L56" s="4"/>
      <c r="M56" s="58"/>
      <c r="N56" s="58"/>
    </row>
    <row r="57" spans="1:15" ht="14.25">
      <c r="A57" s="55">
        <f t="shared" si="4"/>
        <v>26</v>
      </c>
      <c r="B57" s="909">
        <v>1650030</v>
      </c>
      <c r="C57" s="620" t="s">
        <v>888</v>
      </c>
      <c r="D57" s="621">
        <v>293535.01</v>
      </c>
      <c r="E57" s="78">
        <f t="shared" si="2"/>
        <v>293535.01</v>
      </c>
      <c r="G57" s="82"/>
      <c r="I57" s="82"/>
      <c r="J57" s="82"/>
      <c r="K57" s="106">
        <f>J57</f>
        <v>0</v>
      </c>
      <c r="L57" s="4" t="s">
        <v>896</v>
      </c>
      <c r="M57" s="58"/>
      <c r="N57" s="58"/>
    </row>
    <row r="58" spans="1:15" ht="14.25">
      <c r="A58" s="55">
        <f t="shared" si="4"/>
        <v>27</v>
      </c>
      <c r="B58" s="909">
        <v>1650035</v>
      </c>
      <c r="C58" s="620" t="s">
        <v>889</v>
      </c>
      <c r="D58" s="621">
        <v>123163765.73999999</v>
      </c>
      <c r="E58" s="78">
        <f t="shared" si="2"/>
        <v>0</v>
      </c>
      <c r="G58" s="82"/>
      <c r="I58" s="82"/>
      <c r="J58" s="82">
        <f>D58</f>
        <v>123163765.73999999</v>
      </c>
      <c r="K58" s="106">
        <f>J58</f>
        <v>123163765.73999999</v>
      </c>
      <c r="L58" s="4" t="s">
        <v>892</v>
      </c>
      <c r="M58" s="58"/>
      <c r="N58" s="58"/>
    </row>
    <row r="59" spans="1:15" ht="14.25">
      <c r="A59" s="55">
        <f t="shared" si="4"/>
        <v>28</v>
      </c>
      <c r="B59" s="622">
        <v>1650036</v>
      </c>
      <c r="C59" s="620" t="s">
        <v>890</v>
      </c>
      <c r="D59" s="621">
        <v>0</v>
      </c>
      <c r="E59" s="78">
        <f t="shared" si="2"/>
        <v>0</v>
      </c>
      <c r="G59" s="82"/>
      <c r="I59" s="82"/>
      <c r="J59" s="82"/>
      <c r="K59" s="106"/>
      <c r="L59" s="4"/>
      <c r="M59" s="58"/>
      <c r="N59" s="58"/>
    </row>
    <row r="60" spans="1:15" ht="14.25">
      <c r="A60" s="55">
        <f t="shared" si="4"/>
        <v>29</v>
      </c>
      <c r="B60" s="909">
        <v>1650037</v>
      </c>
      <c r="C60" s="620" t="s">
        <v>891</v>
      </c>
      <c r="D60" s="621">
        <v>-123163765.73999999</v>
      </c>
      <c r="E60" s="78">
        <f t="shared" si="2"/>
        <v>-123163765.73999999</v>
      </c>
      <c r="G60" s="82">
        <v>0</v>
      </c>
      <c r="I60" s="82"/>
      <c r="J60" s="82"/>
      <c r="K60" s="106">
        <f>G60</f>
        <v>0</v>
      </c>
      <c r="L60" t="s">
        <v>894</v>
      </c>
      <c r="M60" s="58"/>
      <c r="N60" s="58"/>
    </row>
    <row r="61" spans="1:15" ht="15" thickBot="1">
      <c r="A61" s="55">
        <f t="shared" si="4"/>
        <v>30</v>
      </c>
      <c r="B61" s="622" t="s">
        <v>1182</v>
      </c>
      <c r="C61" s="620" t="s">
        <v>1183</v>
      </c>
      <c r="D61" s="621">
        <v>-0.01</v>
      </c>
      <c r="E61" s="78">
        <f t="shared" ref="E61" si="5">+D61-K61</f>
        <v>-0.01</v>
      </c>
      <c r="G61" s="82"/>
      <c r="I61" s="82"/>
      <c r="J61" s="82"/>
      <c r="K61" s="106">
        <f t="shared" ref="K61" si="6">+G61+I61+J61</f>
        <v>0</v>
      </c>
      <c r="L61" t="s">
        <v>114</v>
      </c>
      <c r="M61" s="58"/>
      <c r="N61" s="58"/>
    </row>
    <row r="62" spans="1:15" ht="14.25">
      <c r="B62" s="109"/>
      <c r="C62" s="23" t="s">
        <v>503</v>
      </c>
      <c r="D62" s="623">
        <f>SUM(D41:D61)</f>
        <v>9658954.3350000139</v>
      </c>
      <c r="E62" s="180">
        <f>SUM(E41:E61)</f>
        <v>-289966180.79000002</v>
      </c>
      <c r="G62" s="114">
        <f>SUM(G41:G61)</f>
        <v>0</v>
      </c>
      <c r="I62" s="114">
        <f>SUM(I41:I61)</f>
        <v>5976368.7549999999</v>
      </c>
      <c r="J62" s="114">
        <f>SUM(J41:J61)</f>
        <v>293648766.37</v>
      </c>
      <c r="K62" s="114">
        <f>SUM(K41:K61)</f>
        <v>299625135.125</v>
      </c>
      <c r="L62"/>
      <c r="M62" s="58"/>
      <c r="N62" s="58"/>
    </row>
    <row r="63" spans="1:15">
      <c r="K63" s="49"/>
      <c r="L63"/>
      <c r="M63" s="58"/>
      <c r="N63" s="58"/>
    </row>
    <row r="64" spans="1:15">
      <c r="B64"/>
      <c r="C64"/>
      <c r="D64"/>
      <c r="E64"/>
      <c r="F64"/>
      <c r="G64"/>
      <c r="H64"/>
      <c r="I64"/>
      <c r="J64"/>
      <c r="K64"/>
      <c r="L64"/>
      <c r="M64"/>
      <c r="N64"/>
      <c r="O64"/>
    </row>
    <row r="65" spans="1:15" ht="18">
      <c r="B65" s="1260" t="str">
        <f>"Prepayments Account 165 - Balance @ 12/31/ "&amp;D67&amp;""</f>
        <v>Prepayments Account 165 - Balance @ 12/31/ 2024</v>
      </c>
      <c r="C65" s="1260"/>
      <c r="D65" s="1260"/>
      <c r="E65" s="1260"/>
      <c r="F65" s="1260"/>
      <c r="G65" s="1260"/>
      <c r="H65" s="1260"/>
      <c r="I65" s="1260"/>
      <c r="J65" s="1260"/>
      <c r="K65" s="64"/>
      <c r="L65" s="65"/>
      <c r="M65" s="58"/>
      <c r="N65"/>
      <c r="O65"/>
    </row>
    <row r="66" spans="1:15">
      <c r="B66" s="191"/>
      <c r="C66" s="192"/>
      <c r="D66" s="193"/>
      <c r="E66" s="7"/>
      <c r="G66" s="7" t="s">
        <v>87</v>
      </c>
      <c r="I66" s="5" t="s">
        <v>115</v>
      </c>
      <c r="J66" s="5" t="s">
        <v>115</v>
      </c>
      <c r="K66" s="5" t="s">
        <v>179</v>
      </c>
      <c r="L66"/>
      <c r="M66" s="58"/>
      <c r="N66"/>
      <c r="O66"/>
    </row>
    <row r="67" spans="1:15">
      <c r="B67" s="191"/>
      <c r="C67" s="194"/>
      <c r="D67" s="5" t="str">
        <f>""&amp;TCOS!L4-1</f>
        <v>2024</v>
      </c>
      <c r="E67" s="5" t="s">
        <v>530</v>
      </c>
      <c r="G67" s="5" t="s">
        <v>115</v>
      </c>
      <c r="I67" s="5" t="s">
        <v>523</v>
      </c>
      <c r="J67" s="5" t="s">
        <v>161</v>
      </c>
      <c r="K67" s="5" t="s">
        <v>180</v>
      </c>
      <c r="L67"/>
      <c r="M67" s="58"/>
      <c r="N67"/>
      <c r="O67"/>
    </row>
    <row r="68" spans="1:15">
      <c r="A68" s="55">
        <f>A61+1</f>
        <v>31</v>
      </c>
      <c r="B68" s="9" t="s">
        <v>90</v>
      </c>
      <c r="C68" s="9" t="s">
        <v>167</v>
      </c>
      <c r="D68" s="9" t="s">
        <v>88</v>
      </c>
      <c r="E68" s="9" t="s">
        <v>502</v>
      </c>
      <c r="G68" s="9" t="s">
        <v>524</v>
      </c>
      <c r="I68" s="9" t="s">
        <v>524</v>
      </c>
      <c r="J68" s="9" t="s">
        <v>524</v>
      </c>
      <c r="K68" s="9" t="s">
        <v>525</v>
      </c>
      <c r="L68" s="9" t="s">
        <v>39</v>
      </c>
      <c r="M68" s="58"/>
      <c r="N68"/>
      <c r="O68"/>
    </row>
    <row r="69" spans="1:15">
      <c r="B69" s="109"/>
      <c r="C69" s="111"/>
      <c r="D69" s="111"/>
      <c r="E69" s="111"/>
      <c r="G69" s="111"/>
      <c r="I69" s="111"/>
      <c r="J69" s="111"/>
      <c r="K69" s="111"/>
      <c r="L69"/>
      <c r="M69" s="58"/>
      <c r="N69"/>
      <c r="O69"/>
    </row>
    <row r="70" spans="1:15" ht="14.25">
      <c r="A70" s="55">
        <f>+A68+1</f>
        <v>32</v>
      </c>
      <c r="B70" s="619" t="s">
        <v>859</v>
      </c>
      <c r="C70" s="620" t="s">
        <v>860</v>
      </c>
      <c r="D70" s="621">
        <v>3069838.29</v>
      </c>
      <c r="E70" s="78">
        <f>+D70-K70</f>
        <v>0</v>
      </c>
      <c r="G70" s="82"/>
      <c r="I70" s="82">
        <f>D70</f>
        <v>3069838.29</v>
      </c>
      <c r="J70" s="82"/>
      <c r="K70" s="82">
        <f t="shared" ref="K70:K85" si="7">+G70+I70+J70</f>
        <v>3069838.29</v>
      </c>
      <c r="L70" t="s">
        <v>531</v>
      </c>
      <c r="M70" s="58"/>
      <c r="N70"/>
      <c r="O70"/>
    </row>
    <row r="71" spans="1:15" ht="14.25">
      <c r="A71" s="55">
        <f t="shared" ref="A71:A90" si="8">+A70+1</f>
        <v>33</v>
      </c>
      <c r="B71" s="619" t="s">
        <v>861</v>
      </c>
      <c r="C71" s="620" t="s">
        <v>862</v>
      </c>
      <c r="D71" s="621">
        <v>0</v>
      </c>
      <c r="E71" s="78">
        <f t="shared" ref="E71:E90" si="9">+D71-K71</f>
        <v>0</v>
      </c>
      <c r="G71" s="82"/>
      <c r="I71" s="82"/>
      <c r="J71" s="82"/>
      <c r="K71" s="82">
        <f t="shared" si="7"/>
        <v>0</v>
      </c>
      <c r="L71" t="s">
        <v>114</v>
      </c>
      <c r="M71" s="58"/>
      <c r="N71"/>
      <c r="O71"/>
    </row>
    <row r="72" spans="1:15" ht="14.25">
      <c r="A72" s="55">
        <f t="shared" si="8"/>
        <v>34</v>
      </c>
      <c r="B72" s="619" t="s">
        <v>863</v>
      </c>
      <c r="C72" s="620" t="s">
        <v>864</v>
      </c>
      <c r="D72" s="621">
        <v>0</v>
      </c>
      <c r="E72" s="78">
        <f t="shared" si="9"/>
        <v>0</v>
      </c>
      <c r="G72" s="82"/>
      <c r="I72" s="82"/>
      <c r="J72" s="82"/>
      <c r="K72" s="82">
        <f t="shared" si="7"/>
        <v>0</v>
      </c>
      <c r="L72"/>
      <c r="M72" s="58"/>
      <c r="N72"/>
      <c r="O72"/>
    </row>
    <row r="73" spans="1:15" ht="14.25">
      <c r="A73" s="55">
        <f t="shared" si="8"/>
        <v>35</v>
      </c>
      <c r="B73" s="619" t="s">
        <v>865</v>
      </c>
      <c r="C73" s="620" t="s">
        <v>866</v>
      </c>
      <c r="D73" s="621">
        <v>0</v>
      </c>
      <c r="E73" s="78">
        <f t="shared" si="9"/>
        <v>0</v>
      </c>
      <c r="G73" s="82"/>
      <c r="I73" s="82"/>
      <c r="J73" s="82"/>
      <c r="K73" s="82">
        <f t="shared" si="7"/>
        <v>0</v>
      </c>
      <c r="L73"/>
      <c r="M73" s="58"/>
      <c r="N73"/>
      <c r="O73"/>
    </row>
    <row r="74" spans="1:15" ht="14.25">
      <c r="A74" s="55">
        <f t="shared" si="8"/>
        <v>36</v>
      </c>
      <c r="B74" s="619" t="s">
        <v>867</v>
      </c>
      <c r="C74" s="620" t="s">
        <v>868</v>
      </c>
      <c r="D74" s="621">
        <v>1149922.71</v>
      </c>
      <c r="E74" s="78">
        <f t="shared" si="9"/>
        <v>1149922.71</v>
      </c>
      <c r="G74" s="106"/>
      <c r="I74" s="82">
        <v>0</v>
      </c>
      <c r="J74" s="106"/>
      <c r="K74" s="106">
        <f t="shared" si="7"/>
        <v>0</v>
      </c>
      <c r="L74" s="197" t="s">
        <v>438</v>
      </c>
      <c r="M74" s="58"/>
      <c r="N74"/>
      <c r="O74"/>
    </row>
    <row r="75" spans="1:15" ht="14.25">
      <c r="A75" s="55">
        <f t="shared" si="8"/>
        <v>37</v>
      </c>
      <c r="B75" s="619" t="s">
        <v>869</v>
      </c>
      <c r="C75" s="620" t="s">
        <v>870</v>
      </c>
      <c r="D75" s="621">
        <v>3331643.22</v>
      </c>
      <c r="E75" s="78">
        <f t="shared" si="9"/>
        <v>3331643.22</v>
      </c>
      <c r="G75" s="82"/>
      <c r="I75" s="82"/>
      <c r="J75" s="82"/>
      <c r="K75" s="106">
        <f t="shared" si="7"/>
        <v>0</v>
      </c>
      <c r="L75" t="s">
        <v>594</v>
      </c>
      <c r="M75" s="58"/>
      <c r="N75"/>
      <c r="O75"/>
    </row>
    <row r="76" spans="1:15" ht="14.25">
      <c r="A76" s="55">
        <f t="shared" si="8"/>
        <v>38</v>
      </c>
      <c r="B76" s="619" t="s">
        <v>871</v>
      </c>
      <c r="C76" s="620" t="s">
        <v>872</v>
      </c>
      <c r="D76" s="621">
        <v>170999328.43000001</v>
      </c>
      <c r="E76" s="78">
        <f t="shared" si="9"/>
        <v>0</v>
      </c>
      <c r="G76" s="82"/>
      <c r="I76" s="82"/>
      <c r="J76" s="82">
        <f>D76</f>
        <v>170999328.43000001</v>
      </c>
      <c r="K76" s="106">
        <f t="shared" si="7"/>
        <v>170999328.43000001</v>
      </c>
      <c r="L76" t="s">
        <v>892</v>
      </c>
      <c r="M76" s="58"/>
      <c r="N76"/>
      <c r="O76"/>
    </row>
    <row r="77" spans="1:15" ht="14.25">
      <c r="A77" s="55">
        <f t="shared" si="8"/>
        <v>39</v>
      </c>
      <c r="B77" s="909">
        <v>165001224</v>
      </c>
      <c r="C77" s="620" t="s">
        <v>873</v>
      </c>
      <c r="D77" s="621">
        <v>242775</v>
      </c>
      <c r="E77" s="78">
        <f t="shared" si="9"/>
        <v>242775</v>
      </c>
      <c r="G77" s="82"/>
      <c r="I77" s="82"/>
      <c r="J77" s="82"/>
      <c r="K77" s="106">
        <f t="shared" si="7"/>
        <v>0</v>
      </c>
      <c r="L77" t="s">
        <v>893</v>
      </c>
      <c r="M77" s="58"/>
      <c r="N77"/>
      <c r="O77"/>
    </row>
    <row r="78" spans="1:15" ht="14.25">
      <c r="A78" s="55">
        <f t="shared" si="8"/>
        <v>40</v>
      </c>
      <c r="B78" s="619" t="s">
        <v>874</v>
      </c>
      <c r="C78" s="620" t="s">
        <v>875</v>
      </c>
      <c r="D78" s="621">
        <v>0</v>
      </c>
      <c r="E78" s="78">
        <f t="shared" si="9"/>
        <v>0</v>
      </c>
      <c r="G78" s="106"/>
      <c r="I78" s="106"/>
      <c r="J78" s="106"/>
      <c r="K78" s="106">
        <f t="shared" si="7"/>
        <v>0</v>
      </c>
      <c r="L78"/>
      <c r="M78" s="58"/>
      <c r="N78"/>
      <c r="O78"/>
    </row>
    <row r="79" spans="1:15" ht="14.25">
      <c r="A79" s="55">
        <f t="shared" si="8"/>
        <v>41</v>
      </c>
      <c r="B79" s="619" t="s">
        <v>876</v>
      </c>
      <c r="C79" s="620" t="s">
        <v>877</v>
      </c>
      <c r="D79" s="621">
        <v>-170999328.43000001</v>
      </c>
      <c r="E79" s="78">
        <f t="shared" si="9"/>
        <v>-170999328.43000001</v>
      </c>
      <c r="G79" s="106"/>
      <c r="I79" s="106"/>
      <c r="J79" s="106"/>
      <c r="K79" s="106">
        <f t="shared" si="7"/>
        <v>0</v>
      </c>
      <c r="L79" t="s">
        <v>894</v>
      </c>
      <c r="M79" s="58"/>
      <c r="N79"/>
      <c r="O79"/>
    </row>
    <row r="80" spans="1:15" ht="14.25">
      <c r="A80" s="55">
        <f t="shared" si="8"/>
        <v>42</v>
      </c>
      <c r="B80" s="619" t="s">
        <v>878</v>
      </c>
      <c r="C80" s="620" t="s">
        <v>879</v>
      </c>
      <c r="D80" s="621">
        <v>0</v>
      </c>
      <c r="E80" s="78">
        <f t="shared" si="9"/>
        <v>0</v>
      </c>
      <c r="G80" s="106"/>
      <c r="I80" s="106"/>
      <c r="J80" s="106"/>
      <c r="K80" s="106">
        <f t="shared" si="7"/>
        <v>0</v>
      </c>
      <c r="L80" s="4"/>
      <c r="M80" s="58"/>
      <c r="N80"/>
      <c r="O80"/>
    </row>
    <row r="81" spans="1:15" ht="14.25">
      <c r="A81" s="55">
        <f t="shared" si="8"/>
        <v>43</v>
      </c>
      <c r="B81" s="622">
        <v>1650017</v>
      </c>
      <c r="C81" s="620" t="s">
        <v>880</v>
      </c>
      <c r="D81" s="621">
        <v>0</v>
      </c>
      <c r="E81" s="78">
        <f t="shared" si="9"/>
        <v>0</v>
      </c>
      <c r="G81" s="106"/>
      <c r="I81" s="106"/>
      <c r="J81" s="106"/>
      <c r="K81" s="106">
        <f t="shared" si="7"/>
        <v>0</v>
      </c>
      <c r="L81" s="4"/>
      <c r="M81" s="58"/>
      <c r="N81"/>
      <c r="O81"/>
    </row>
    <row r="82" spans="1:15" ht="14.25">
      <c r="A82" s="55">
        <f t="shared" si="8"/>
        <v>44</v>
      </c>
      <c r="B82" s="909" t="s">
        <v>881</v>
      </c>
      <c r="C82" s="620" t="s">
        <v>882</v>
      </c>
      <c r="D82" s="621">
        <v>0</v>
      </c>
      <c r="E82" s="78">
        <f t="shared" si="9"/>
        <v>0</v>
      </c>
      <c r="G82" s="106"/>
      <c r="I82" s="106"/>
      <c r="J82" s="106"/>
      <c r="K82" s="106">
        <f t="shared" si="7"/>
        <v>0</v>
      </c>
      <c r="L82" s="4"/>
      <c r="M82" s="58"/>
      <c r="N82"/>
      <c r="O82"/>
    </row>
    <row r="83" spans="1:15" ht="14.25">
      <c r="A83" s="55">
        <f t="shared" si="8"/>
        <v>45</v>
      </c>
      <c r="B83" s="909" t="s">
        <v>883</v>
      </c>
      <c r="C83" s="620" t="s">
        <v>884</v>
      </c>
      <c r="D83" s="621">
        <v>0</v>
      </c>
      <c r="E83" s="78">
        <f t="shared" si="9"/>
        <v>0</v>
      </c>
      <c r="G83" s="106"/>
      <c r="I83" s="106"/>
      <c r="J83" s="106"/>
      <c r="K83" s="106">
        <f t="shared" si="7"/>
        <v>0</v>
      </c>
      <c r="L83" s="4"/>
      <c r="M83" s="58"/>
      <c r="N83"/>
      <c r="O83"/>
    </row>
    <row r="84" spans="1:15" ht="14.25">
      <c r="A84" s="55">
        <f t="shared" si="8"/>
        <v>46</v>
      </c>
      <c r="B84" s="622">
        <v>1650021</v>
      </c>
      <c r="C84" s="620" t="s">
        <v>885</v>
      </c>
      <c r="D84" s="621">
        <v>2796826.0750000002</v>
      </c>
      <c r="E84" s="78">
        <f t="shared" si="9"/>
        <v>0</v>
      </c>
      <c r="G84" s="106"/>
      <c r="I84" s="82">
        <f>D84</f>
        <v>2796826.0750000002</v>
      </c>
      <c r="J84" s="106"/>
      <c r="K84" s="106">
        <f t="shared" si="7"/>
        <v>2796826.0750000002</v>
      </c>
      <c r="L84" s="4" t="s">
        <v>895</v>
      </c>
      <c r="M84" s="58"/>
      <c r="N84"/>
      <c r="O84"/>
    </row>
    <row r="85" spans="1:15" ht="14.25">
      <c r="A85" s="55">
        <f t="shared" si="8"/>
        <v>47</v>
      </c>
      <c r="B85" s="909" t="s">
        <v>886</v>
      </c>
      <c r="C85" s="620" t="s">
        <v>887</v>
      </c>
      <c r="D85" s="621">
        <v>21971.7</v>
      </c>
      <c r="E85" s="78">
        <f t="shared" si="9"/>
        <v>21971.7</v>
      </c>
      <c r="G85" s="82"/>
      <c r="I85" s="82"/>
      <c r="J85" s="82"/>
      <c r="K85" s="106">
        <f t="shared" si="7"/>
        <v>0</v>
      </c>
      <c r="L85" s="4"/>
      <c r="M85" s="58"/>
      <c r="N85"/>
      <c r="O85"/>
    </row>
    <row r="86" spans="1:15" ht="14.25">
      <c r="A86" s="55">
        <f t="shared" si="8"/>
        <v>48</v>
      </c>
      <c r="B86" s="909">
        <v>1650030</v>
      </c>
      <c r="C86" s="620" t="s">
        <v>888</v>
      </c>
      <c r="D86" s="621">
        <v>504311.01</v>
      </c>
      <c r="E86" s="78">
        <f t="shared" si="9"/>
        <v>504311.01</v>
      </c>
      <c r="G86" s="82"/>
      <c r="I86" s="82"/>
      <c r="J86" s="82"/>
      <c r="K86" s="106">
        <f>J86</f>
        <v>0</v>
      </c>
      <c r="L86" s="4" t="s">
        <v>896</v>
      </c>
      <c r="M86" s="58"/>
      <c r="N86"/>
      <c r="O86"/>
    </row>
    <row r="87" spans="1:15" ht="14.25">
      <c r="A87" s="55">
        <f t="shared" si="8"/>
        <v>49</v>
      </c>
      <c r="B87" s="909">
        <v>1650035</v>
      </c>
      <c r="C87" s="620" t="s">
        <v>889</v>
      </c>
      <c r="D87" s="621">
        <v>114898505.91</v>
      </c>
      <c r="E87" s="78">
        <f t="shared" si="9"/>
        <v>0</v>
      </c>
      <c r="G87" s="82"/>
      <c r="I87" s="82"/>
      <c r="J87" s="82">
        <f>D87</f>
        <v>114898505.91</v>
      </c>
      <c r="K87" s="106">
        <f>J87</f>
        <v>114898505.91</v>
      </c>
      <c r="L87" s="4" t="s">
        <v>892</v>
      </c>
      <c r="M87" s="58"/>
      <c r="N87"/>
      <c r="O87"/>
    </row>
    <row r="88" spans="1:15" ht="14.25">
      <c r="A88" s="55">
        <f t="shared" si="8"/>
        <v>50</v>
      </c>
      <c r="B88" s="622">
        <v>1650036</v>
      </c>
      <c r="C88" s="620" t="s">
        <v>890</v>
      </c>
      <c r="D88" s="621">
        <v>0</v>
      </c>
      <c r="E88" s="78">
        <f t="shared" si="9"/>
        <v>0</v>
      </c>
      <c r="G88" s="82"/>
      <c r="I88" s="82"/>
      <c r="J88" s="82"/>
      <c r="K88" s="106"/>
      <c r="L88" s="4"/>
      <c r="M88" s="58"/>
      <c r="N88"/>
      <c r="O88"/>
    </row>
    <row r="89" spans="1:15" ht="14.25">
      <c r="A89" s="55">
        <f t="shared" si="8"/>
        <v>51</v>
      </c>
      <c r="B89" s="909">
        <v>1650037</v>
      </c>
      <c r="C89" s="620" t="s">
        <v>891</v>
      </c>
      <c r="D89" s="621">
        <v>-114898505.91</v>
      </c>
      <c r="E89" s="78">
        <f t="shared" si="9"/>
        <v>-114898505.91</v>
      </c>
      <c r="G89" s="82">
        <v>0</v>
      </c>
      <c r="I89" s="82"/>
      <c r="J89" s="82"/>
      <c r="K89" s="106">
        <f>G89</f>
        <v>0</v>
      </c>
      <c r="L89" t="s">
        <v>894</v>
      </c>
      <c r="M89" s="58"/>
      <c r="N89"/>
      <c r="O89"/>
    </row>
    <row r="90" spans="1:15" ht="14.25">
      <c r="A90" s="55">
        <f t="shared" si="8"/>
        <v>52</v>
      </c>
      <c r="B90" s="622" t="s">
        <v>1182</v>
      </c>
      <c r="C90" s="620" t="s">
        <v>1183</v>
      </c>
      <c r="D90" s="621">
        <v>-0.02</v>
      </c>
      <c r="E90" s="78">
        <f t="shared" si="9"/>
        <v>-0.02</v>
      </c>
      <c r="G90" s="82"/>
      <c r="I90" s="82"/>
      <c r="J90" s="82"/>
      <c r="K90" s="106">
        <f t="shared" ref="K90" si="10">+G90+I90+J90</f>
        <v>0</v>
      </c>
      <c r="L90" t="s">
        <v>114</v>
      </c>
      <c r="M90" s="58"/>
      <c r="N90"/>
      <c r="O90"/>
    </row>
    <row r="91" spans="1:15" ht="13.5" thickBot="1">
      <c r="B91" s="18"/>
      <c r="C91" s="18"/>
      <c r="D91" s="106"/>
      <c r="E91" s="78"/>
      <c r="G91" s="82"/>
      <c r="I91" s="82"/>
      <c r="J91" s="82"/>
      <c r="K91" s="82"/>
      <c r="L91"/>
      <c r="M91" s="58"/>
      <c r="N91"/>
      <c r="O91"/>
    </row>
    <row r="92" spans="1:15" ht="14.25">
      <c r="B92" s="109"/>
      <c r="C92" s="23" t="s">
        <v>383</v>
      </c>
      <c r="D92" s="623">
        <f>IF(SUM(D70:D91)=0,"",SUM(D70:D91))</f>
        <v>11117287.984999996</v>
      </c>
      <c r="E92" s="180">
        <f>IF(SUM(E70:E91)=0,"",SUM(E70:E91))</f>
        <v>-280647210.72000003</v>
      </c>
      <c r="G92" s="114" t="str">
        <f>IF(SUM(G70:G91)=0,"",SUM(G70:G91))</f>
        <v/>
      </c>
      <c r="I92" s="114">
        <f>IF(SUM(I70:I91)=0,"",SUM(I70:I91))</f>
        <v>5866664.3650000002</v>
      </c>
      <c r="J92" s="114">
        <f>IF(SUM(J70:J91)=0,"",SUM(J70:J91))</f>
        <v>285897834.34000003</v>
      </c>
      <c r="K92" s="114">
        <f>IF(SUM(K70:K91)=0,"",SUM(K70:K91))</f>
        <v>291764498.70499998</v>
      </c>
      <c r="L92"/>
      <c r="M92" s="58"/>
      <c r="N92"/>
      <c r="O92"/>
    </row>
    <row r="93" spans="1:15">
      <c r="B93" s="55"/>
      <c r="C93"/>
      <c r="D93"/>
      <c r="E93"/>
      <c r="F93"/>
      <c r="G93"/>
      <c r="H93"/>
      <c r="I93"/>
      <c r="J93"/>
      <c r="K93"/>
      <c r="L93"/>
      <c r="M93"/>
      <c r="N93"/>
      <c r="O93"/>
    </row>
    <row r="94" spans="1:15" ht="18.75" customHeight="1">
      <c r="A94" s="55" t="s">
        <v>624</v>
      </c>
      <c r="B94" s="1240" t="s">
        <v>814</v>
      </c>
      <c r="C94" s="1240"/>
      <c r="D94" s="1240"/>
      <c r="E94" s="1240"/>
      <c r="F94" s="1240"/>
      <c r="G94" s="1240"/>
      <c r="H94" s="1240"/>
      <c r="I94" s="1240"/>
      <c r="J94" s="1240"/>
      <c r="K94" s="1240"/>
      <c r="L94" s="1240"/>
      <c r="M94"/>
      <c r="N94"/>
      <c r="O94"/>
    </row>
    <row r="95" spans="1:15" ht="18.75" customHeight="1">
      <c r="A95" s="4"/>
      <c r="B95" s="1240"/>
      <c r="C95" s="1240"/>
      <c r="D95" s="1240"/>
      <c r="E95" s="1240"/>
      <c r="F95" s="1240"/>
      <c r="G95" s="1240"/>
      <c r="H95" s="1240"/>
      <c r="I95" s="1240"/>
      <c r="J95" s="1240"/>
      <c r="K95" s="1240"/>
      <c r="L95" s="1240"/>
      <c r="M95"/>
      <c r="N95"/>
      <c r="O95"/>
    </row>
    <row r="96" spans="1:15" ht="18">
      <c r="E96" s="658"/>
      <c r="F96" s="658"/>
      <c r="G96" s="658"/>
      <c r="H96" s="658"/>
      <c r="I96" s="658"/>
      <c r="J96" s="658"/>
      <c r="K96" s="658"/>
      <c r="L96" s="65"/>
      <c r="M96" s="58"/>
      <c r="N96" s="58"/>
    </row>
  </sheetData>
  <mergeCells count="12">
    <mergeCell ref="B94:L95"/>
    <mergeCell ref="B65:J65"/>
    <mergeCell ref="B26:K26"/>
    <mergeCell ref="E12:E13"/>
    <mergeCell ref="I12:I13"/>
    <mergeCell ref="B36:J36"/>
    <mergeCell ref="G12:G13"/>
    <mergeCell ref="B10:K10"/>
    <mergeCell ref="A3:L3"/>
    <mergeCell ref="A4:L4"/>
    <mergeCell ref="A5:L5"/>
    <mergeCell ref="A6:L6"/>
  </mergeCells>
  <phoneticPr fontId="7" type="noConversion"/>
  <pageMargins left="1.08" right="0.75" top="1" bottom="0.41" header="0.86" footer="0.27"/>
  <pageSetup scale="39" orientation="landscape" r:id="rId1"/>
  <headerFooter alignWithMargins="0">
    <oddHeader>&amp;R&amp;"Arial,Bold"Formula Rate
&amp;A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O28"/>
  <sheetViews>
    <sheetView tabSelected="1" view="pageBreakPreview" zoomScaleNormal="100" zoomScaleSheetLayoutView="100" workbookViewId="0">
      <selection activeCell="D11" sqref="D11"/>
    </sheetView>
  </sheetViews>
  <sheetFormatPr defaultColWidth="8.85546875" defaultRowHeight="12.75"/>
  <cols>
    <col min="1" max="1" width="9.42578125" style="1" bestFit="1" customWidth="1"/>
    <col min="2" max="2" width="65.140625" bestFit="1" customWidth="1"/>
    <col min="3" max="3" width="12.5703125" bestFit="1" customWidth="1"/>
    <col min="4" max="4" width="1.5703125" customWidth="1"/>
    <col min="5" max="5" width="15" bestFit="1" customWidth="1"/>
  </cols>
  <sheetData>
    <row r="1" spans="1:15" ht="15.75">
      <c r="A1" s="657" t="s">
        <v>114</v>
      </c>
    </row>
    <row r="2" spans="1:15" ht="15.75">
      <c r="A2" s="657" t="s">
        <v>114</v>
      </c>
    </row>
    <row r="3" spans="1:15" ht="15">
      <c r="A3" s="1234" t="str">
        <f>+'WS C  - Working Capital'!A3:L3</f>
        <v>AEP East Companies</v>
      </c>
      <c r="B3" s="1234"/>
      <c r="C3" s="1234"/>
      <c r="D3" s="1234"/>
      <c r="E3" s="1234"/>
      <c r="F3" s="28"/>
      <c r="G3" s="28"/>
      <c r="H3" s="28"/>
      <c r="I3" s="28"/>
      <c r="J3" s="28"/>
      <c r="K3" s="28"/>
      <c r="L3" s="28"/>
      <c r="M3" s="28"/>
      <c r="N3" s="28"/>
      <c r="O3" s="28"/>
    </row>
    <row r="4" spans="1:15" ht="15">
      <c r="A4" s="1235" t="str">
        <f>"Cost of Service Formula Rate Using Actual/Projected FF1 Balances"</f>
        <v>Cost of Service Formula Rate Using Actual/Projected FF1 Balances</v>
      </c>
      <c r="B4" s="1235"/>
      <c r="C4" s="1235"/>
      <c r="D4" s="1235"/>
      <c r="E4" s="1235"/>
      <c r="F4" s="74"/>
      <c r="G4" s="74"/>
      <c r="H4" s="74"/>
      <c r="I4" s="74"/>
      <c r="J4" s="74"/>
      <c r="K4" s="74"/>
      <c r="L4" s="74"/>
      <c r="M4" s="75"/>
      <c r="N4" s="75"/>
      <c r="O4" s="75"/>
    </row>
    <row r="5" spans="1:15" ht="15">
      <c r="A5" s="1235" t="s">
        <v>227</v>
      </c>
      <c r="B5" s="1235"/>
      <c r="C5" s="1235"/>
      <c r="D5" s="1235"/>
      <c r="E5" s="1235"/>
      <c r="F5" s="74"/>
      <c r="G5" s="74"/>
      <c r="H5" s="74"/>
      <c r="I5" s="74"/>
      <c r="J5" s="74"/>
      <c r="K5" s="74"/>
      <c r="L5" s="74"/>
      <c r="M5" s="74"/>
      <c r="N5" s="74"/>
      <c r="O5" s="74"/>
    </row>
    <row r="6" spans="1:15" ht="15">
      <c r="A6" s="1243" t="str">
        <f>TCOS!F9</f>
        <v>Ohio Power Company</v>
      </c>
      <c r="B6" s="1243"/>
      <c r="C6" s="1243"/>
      <c r="D6" s="1243"/>
      <c r="E6" s="1243"/>
      <c r="F6" s="3"/>
      <c r="G6" s="3"/>
      <c r="H6" s="3"/>
      <c r="I6" s="3"/>
      <c r="J6" s="3"/>
      <c r="K6" s="3"/>
      <c r="L6" s="3"/>
      <c r="M6" s="3"/>
      <c r="N6" s="3"/>
      <c r="O6" s="3"/>
    </row>
    <row r="8" spans="1:15">
      <c r="A8" s="134" t="s">
        <v>169</v>
      </c>
      <c r="B8" s="135" t="s">
        <v>162</v>
      </c>
      <c r="C8" s="135" t="s">
        <v>163</v>
      </c>
    </row>
    <row r="9" spans="1:15">
      <c r="A9" s="134" t="s">
        <v>106</v>
      </c>
      <c r="B9" s="134" t="s">
        <v>167</v>
      </c>
      <c r="C9" s="134">
        <f>+TCOS!L4</f>
        <v>2025</v>
      </c>
    </row>
    <row r="10" spans="1:15">
      <c r="B10" s="197"/>
      <c r="C10" s="135"/>
    </row>
    <row r="11" spans="1:15">
      <c r="A11" s="1">
        <v>1</v>
      </c>
      <c r="B11" s="819" t="str">
        <f>"Net Funds from IPP Customers 12/31/"&amp;TCOS!L4-1&amp;" ("&amp;TCOS!L4&amp;" FORM 1, P269)"</f>
        <v>Net Funds from IPP Customers 12/31/2024 (2025 FORM 1, P269)</v>
      </c>
      <c r="C11" s="618">
        <v>0</v>
      </c>
    </row>
    <row r="12" spans="1:15">
      <c r="B12" s="4"/>
      <c r="C12" s="105"/>
    </row>
    <row r="13" spans="1:15">
      <c r="A13" s="1">
        <v>2</v>
      </c>
      <c r="B13" s="819" t="s">
        <v>71</v>
      </c>
      <c r="C13" s="618">
        <v>0</v>
      </c>
    </row>
    <row r="14" spans="1:15">
      <c r="B14" s="819"/>
      <c r="C14" s="105"/>
    </row>
    <row r="15" spans="1:15">
      <c r="A15" s="1">
        <f>+A13+1</f>
        <v>3</v>
      </c>
      <c r="B15" s="819" t="s">
        <v>72</v>
      </c>
      <c r="C15" s="618"/>
    </row>
    <row r="16" spans="1:15">
      <c r="B16" s="819"/>
      <c r="C16" s="105"/>
    </row>
    <row r="17" spans="1:4">
      <c r="A17" s="1">
        <f>+A15+1</f>
        <v>4</v>
      </c>
      <c r="B17" s="820" t="s">
        <v>228</v>
      </c>
      <c r="C17" s="105"/>
    </row>
    <row r="18" spans="1:4">
      <c r="A18" s="1">
        <f>+A17+1</f>
        <v>5</v>
      </c>
      <c r="B18" s="819" t="s">
        <v>73</v>
      </c>
      <c r="C18" s="618"/>
    </row>
    <row r="19" spans="1:4">
      <c r="A19" s="1">
        <f>+A18+1</f>
        <v>6</v>
      </c>
      <c r="B19" s="79" t="s">
        <v>114</v>
      </c>
      <c r="C19" s="624">
        <v>0</v>
      </c>
    </row>
    <row r="20" spans="1:4">
      <c r="B20" s="4"/>
      <c r="C20" s="625"/>
    </row>
    <row r="21" spans="1:4">
      <c r="A21" s="1">
        <f>+A19+1</f>
        <v>7</v>
      </c>
      <c r="B21" s="819" t="str">
        <f>"Net Funds from IPP Customers 12/31/"&amp;TCOS!L4&amp;" ("&amp;TCOS!L4&amp;" FORM 1, P269)"</f>
        <v>Net Funds from IPP Customers 12/31/2025 (2025 FORM 1, P269)</v>
      </c>
      <c r="C21" s="105">
        <f>+C11+C13+C15+C18+C19</f>
        <v>0</v>
      </c>
      <c r="D21" s="378"/>
    </row>
    <row r="22" spans="1:4">
      <c r="B22" s="4"/>
      <c r="C22" s="105"/>
    </row>
    <row r="23" spans="1:4">
      <c r="A23" s="1">
        <f>+A21+1</f>
        <v>8</v>
      </c>
      <c r="B23" s="819" t="str">
        <f>"Average Balance for Year as Indicated in Column B ((ln "&amp;A11&amp;" + ln "&amp;A21&amp;")/2)"</f>
        <v>Average Balance for Year as Indicated in Column B ((ln 1 + ln 7)/2)</v>
      </c>
      <c r="C23" s="379">
        <f>AVERAGE(C21,C11)</f>
        <v>0</v>
      </c>
    </row>
    <row r="24" spans="1:4">
      <c r="B24" s="4"/>
    </row>
    <row r="25" spans="1:4">
      <c r="B25" s="69"/>
      <c r="C25" s="380"/>
    </row>
    <row r="26" spans="1:4" ht="15">
      <c r="A26" s="243" t="s">
        <v>499</v>
      </c>
      <c r="B26" s="1231" t="str">
        <f>"On this worksheet Company Records refers to  "&amp;A6&amp;"'s general ledger."</f>
        <v>On this worksheet Company Records refers to  Ohio Power Company's general ledger.</v>
      </c>
    </row>
    <row r="27" spans="1:4">
      <c r="B27" s="1225"/>
    </row>
    <row r="28" spans="1:4">
      <c r="B28" s="4"/>
    </row>
  </sheetData>
  <mergeCells count="5">
    <mergeCell ref="B26:B27"/>
    <mergeCell ref="A3:E3"/>
    <mergeCell ref="A4:E4"/>
    <mergeCell ref="A5:E5"/>
    <mergeCell ref="A6:E6"/>
  </mergeCells>
  <phoneticPr fontId="0" type="noConversion"/>
  <pageMargins left="0.82" right="0.7" top="1" bottom="1" header="0.75" footer="0.5"/>
  <pageSetup scale="87" orientation="portrait" r:id="rId1"/>
  <headerFooter alignWithMargins="0">
    <oddHeader>&amp;R&amp;"Arial,Bold"Formula Rate 
&amp;A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Q09SUFxzMjczNjg5PC9Vc2VyTmFtZT48RGF0ZVRpbWU+My8yNC8yMDIyIDE6NTY6MTQgUE08L0RhdGVUaW1lPjxMYWJlbFN0cmluZz5BRVAgSW50ZXJuYWw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sisl>
</file>

<file path=customXml/itemProps1.xml><?xml version="1.0" encoding="utf-8"?>
<ds:datastoreItem xmlns:ds="http://schemas.openxmlformats.org/officeDocument/2006/customXml" ds:itemID="{84F4638B-8786-4FEB-994B-B0AE77BE9687}">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CF9F2BFE-AD68-419D-B1E1-1E1FFBC8306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30</vt:i4>
      </vt:variant>
      <vt:variant>
        <vt:lpstr>Named Ranges</vt:lpstr>
      </vt:variant>
      <vt:variant>
        <vt:i4>11</vt:i4>
      </vt:variant>
    </vt:vector>
  </HeadingPairs>
  <TitlesOfParts>
    <vt:vector size="41" baseType="lpstr">
      <vt:lpstr>TCOS</vt:lpstr>
      <vt:lpstr>WS A - RB Support</vt:lpstr>
      <vt:lpstr>WS B ADIT &amp; ITC</vt:lpstr>
      <vt:lpstr>WS B-1 - Actual Stmt. AF</vt:lpstr>
      <vt:lpstr>WS B-2 - Actual Stmt. AG</vt:lpstr>
      <vt:lpstr>WS B-3</vt:lpstr>
      <vt:lpstr>WS B-3-A</vt:lpstr>
      <vt:lpstr>WS C  - Working Capital</vt:lpstr>
      <vt:lpstr>WS D IPP Credits</vt:lpstr>
      <vt:lpstr>WS E Rev Credits</vt:lpstr>
      <vt:lpstr>WS F Misc Exp</vt:lpstr>
      <vt:lpstr>WS G  State Tax Rate</vt:lpstr>
      <vt:lpstr>WS H Other Taxes</vt:lpstr>
      <vt:lpstr>WS H-1-Detail of Tax Amts</vt:lpstr>
      <vt:lpstr>WS I Reserved</vt:lpstr>
      <vt:lpstr>WS J PROJECTED RTEP RR</vt:lpstr>
      <vt:lpstr>WS K TRUE-UP RTEP RR</vt:lpstr>
      <vt:lpstr>WS L Reserved</vt:lpstr>
      <vt:lpstr>WS M - Cost of Capital</vt:lpstr>
      <vt:lpstr>WS N - Sale of Plant Held</vt:lpstr>
      <vt:lpstr>WS O - PBOP</vt:lpstr>
      <vt:lpstr>APCo - WS P Dep. Rates</vt:lpstr>
      <vt:lpstr>IMC - WS P Dep. Rates</vt:lpstr>
      <vt:lpstr>KGP - WS P Dep. Rates</vt:lpstr>
      <vt:lpstr>KPC - WS P Dep. Rates</vt:lpstr>
      <vt:lpstr>OPC - WS P Dep. Rates</vt:lpstr>
      <vt:lpstr>WPC-WS P Dep. Rates</vt:lpstr>
      <vt:lpstr>WSQ NSPR</vt:lpstr>
      <vt:lpstr>WSQ Schedule 12</vt:lpstr>
      <vt:lpstr>WSQ Schedule 1A</vt:lpstr>
      <vt:lpstr>TCOS!Print_Area</vt:lpstr>
      <vt:lpstr>'WS B-2 - Actual Stmt. AG'!Print_Area</vt:lpstr>
      <vt:lpstr>'WS B-3'!Print_Area</vt:lpstr>
      <vt:lpstr>'WS H Other Taxes'!Print_Area</vt:lpstr>
      <vt:lpstr>'WS I Reserved'!Print_Area</vt:lpstr>
      <vt:lpstr>'WS J PROJECTED RTEP RR'!Print_Area</vt:lpstr>
      <vt:lpstr>'WS K TRUE-UP RTEP RR'!Print_Area</vt:lpstr>
      <vt:lpstr>'WS L Reserved'!Print_Area</vt:lpstr>
      <vt:lpstr>'WS M - Cost of Capital'!Print_Area</vt:lpstr>
      <vt:lpstr>'WS O - PBOP'!Print_Area</vt:lpstr>
      <vt:lpstr>'WSQ NSPR'!Print_Area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keywords/>
  <cp:lastModifiedBy/>
  <cp:lastPrinted>1601-01-01T00:00:00Z</cp:lastPrinted>
  <dcterms:created xsi:type="dcterms:W3CDTF">1601-01-01T00:00:00Z</dcterms:created>
  <dcterms:modified xsi:type="dcterms:W3CDTF">2026-05-22T11:35:05Z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de6a7bba-f377-4948-9ad2-df6fe710a2c3</vt:lpwstr>
  </property>
  <property fmtid="{D5CDD505-2E9C-101B-9397-08002B2CF9AE}" pid="3" name="bjSaver">
    <vt:lpwstr>HTegTYUHA5Eno747PWutbmINAXeRHZsu</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ClsUserRVM">
    <vt:lpwstr>[]</vt:lpwstr>
  </property>
  <property fmtid="{D5CDD505-2E9C-101B-9397-08002B2CF9AE}" pid="7" name="bjLabelHistoryID">
    <vt:lpwstr>{84F4638B-8786-4FEB-994B-B0AE77BE9687}</vt:lpwstr>
  </property>
  <property fmtid="{D5CDD505-2E9C-101B-9397-08002B2CF9AE}" pid="8" name="MSIP_Label_69f43042-6bda-44b2-91eb-eca3d3d484f4_SiteId">
    <vt:lpwstr>15f3c881-6b03-4ff6-8559-77bf5177818f</vt:lpwstr>
  </property>
  <property fmtid="{D5CDD505-2E9C-101B-9397-08002B2CF9AE}" pid="9" name="MSIP_Label_69f43042-6bda-44b2-91eb-eca3d3d484f4_Name">
    <vt:lpwstr>AEP Internal</vt:lpwstr>
  </property>
  <property fmtid="{D5CDD505-2E9C-101B-9397-08002B2CF9AE}" pid="10" name="MSIP_Label_69f43042-6bda-44b2-91eb-eca3d3d484f4_Enabled">
    <vt:lpwstr>true</vt:lpwstr>
  </property>
  <property fmtid="{D5CDD505-2E9C-101B-9397-08002B2CF9AE}" pid="11"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2" name="bjDocumentLabelXML-0">
    <vt:lpwstr>ames.com/2008/01/sie/internal/label"&gt;&lt;element uid="50c31824-0780-4910-87d1-eaaffd182d42" value="" /&gt;&lt;/sisl&gt;</vt:lpwstr>
  </property>
</Properties>
</file>